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abri\Downloads\"/>
    </mc:Choice>
  </mc:AlternateContent>
  <xr:revisionPtr revIDLastSave="0" documentId="8_{519795B3-727D-4D4B-BCFA-63EE92D80B9B}" xr6:coauthVersionLast="47" xr6:coauthVersionMax="47" xr10:uidLastSave="{00000000-0000-0000-0000-000000000000}"/>
  <bookViews>
    <workbookView xWindow="-120" yWindow="-120" windowWidth="29040" windowHeight="15840" xr2:uid="{0C500092-66B7-47EF-BE55-5D282559C6CF}"/>
  </bookViews>
  <sheets>
    <sheet name="NS0_JAN_202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1" i="1" l="1"/>
  <c r="K30" i="1"/>
  <c r="K29" i="1"/>
  <c r="D28" i="1"/>
  <c r="D31" i="1" s="1"/>
  <c r="J24" i="1"/>
  <c r="I24" i="1"/>
  <c r="H24" i="1"/>
  <c r="G24" i="1"/>
  <c r="F24" i="1"/>
  <c r="E24" i="1"/>
  <c r="D24" i="1"/>
  <c r="K23" i="1"/>
  <c r="L23" i="1" s="1"/>
  <c r="K22" i="1"/>
  <c r="L22" i="1" s="1"/>
  <c r="K18" i="1"/>
  <c r="L18" i="1" s="1"/>
  <c r="K14" i="1"/>
  <c r="K12" i="1"/>
  <c r="K8" i="1"/>
  <c r="L8" i="1" s="1"/>
  <c r="J7" i="1"/>
  <c r="I7" i="1"/>
  <c r="H7" i="1"/>
  <c r="G7" i="1"/>
  <c r="F7" i="1"/>
  <c r="E7" i="1"/>
  <c r="D7" i="1"/>
  <c r="K6" i="1"/>
  <c r="L6" i="1" s="1"/>
  <c r="K5" i="1"/>
  <c r="L5" i="1" s="1"/>
  <c r="L12" i="1" l="1"/>
  <c r="U12" i="1" s="1"/>
  <c r="K7" i="1"/>
  <c r="L7" i="1" s="1"/>
  <c r="S18" i="1"/>
  <c r="T18" i="1"/>
  <c r="W18" i="1"/>
  <c r="V18" i="1"/>
  <c r="U18" i="1"/>
  <c r="T22" i="1"/>
  <c r="S22" i="1"/>
  <c r="U22" i="1"/>
  <c r="W22" i="1"/>
  <c r="V22" i="1"/>
  <c r="S23" i="1"/>
  <c r="T23" i="1"/>
  <c r="W23" i="1"/>
  <c r="V23" i="1"/>
  <c r="U23" i="1"/>
  <c r="E29" i="1"/>
  <c r="E27" i="1"/>
  <c r="E30" i="1"/>
  <c r="U5" i="1"/>
  <c r="T5" i="1"/>
  <c r="S5" i="1"/>
  <c r="V5" i="1"/>
  <c r="W5" i="1"/>
  <c r="T6" i="1"/>
  <c r="S6" i="1"/>
  <c r="U6" i="1"/>
  <c r="W6" i="1"/>
  <c r="V6" i="1"/>
  <c r="E28" i="1"/>
  <c r="K24" i="1"/>
  <c r="L24" i="1" s="1"/>
  <c r="S12" i="1" l="1"/>
  <c r="T12" i="1"/>
  <c r="V12" i="1"/>
  <c r="W12" i="1"/>
  <c r="V7" i="1"/>
  <c r="V8" i="1" s="1"/>
  <c r="T7" i="1"/>
  <c r="T8" i="1" s="1"/>
  <c r="S7" i="1"/>
  <c r="S8" i="1" s="1"/>
  <c r="W7" i="1"/>
  <c r="W8" i="1" s="1"/>
  <c r="U7" i="1"/>
  <c r="U8" i="1" s="1"/>
  <c r="X5" i="1"/>
  <c r="X22" i="1"/>
  <c r="T24" i="1"/>
  <c r="S24" i="1"/>
  <c r="U24" i="1"/>
  <c r="W24" i="1"/>
  <c r="V24" i="1"/>
  <c r="X6" i="1"/>
  <c r="X23" i="1"/>
  <c r="E31" i="1"/>
  <c r="X18" i="1"/>
  <c r="X12" i="1" l="1"/>
  <c r="Y12" i="1" s="1"/>
  <c r="P28" i="1" s="1"/>
  <c r="Y18" i="1"/>
  <c r="P29" i="1" s="1"/>
  <c r="X7" i="1"/>
  <c r="X8" i="1" s="1"/>
  <c r="Y5" i="1" s="1"/>
  <c r="X24" i="1"/>
  <c r="Q27" i="1" l="1"/>
  <c r="W27" i="1" s="1"/>
  <c r="P30" i="1"/>
  <c r="P27" i="1"/>
  <c r="W28" i="1"/>
  <c r="Y22" i="1"/>
  <c r="W29" i="1" s="1"/>
  <c r="W30" i="1" s="1"/>
  <c r="X27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Roberto</author>
  </authors>
  <commentList>
    <comment ref="K5" authorId="0" shapeId="0" xr:uid="{4546603D-F5F8-4E6D-A247-B7A46EB3F6B6}">
      <text>
        <r>
          <rPr>
            <b/>
            <sz val="9"/>
            <color indexed="81"/>
            <rFont val="Segoe UI"/>
            <family val="2"/>
          </rPr>
          <t>Roberto:</t>
        </r>
        <r>
          <rPr>
            <sz val="9"/>
            <color indexed="81"/>
            <rFont val="Segoe UI"/>
            <family val="2"/>
          </rPr>
          <t xml:space="preserve">
MÉDIA DE 7 DIAS</t>
        </r>
      </text>
    </comment>
    <comment ref="K6" authorId="0" shapeId="0" xr:uid="{7A58B339-7CAB-457F-B424-20454CAF6167}">
      <text>
        <r>
          <rPr>
            <b/>
            <sz val="9"/>
            <color indexed="81"/>
            <rFont val="Segoe UI"/>
            <family val="2"/>
          </rPr>
          <t>Roberto:</t>
        </r>
        <r>
          <rPr>
            <sz val="9"/>
            <color indexed="81"/>
            <rFont val="Segoe UI"/>
            <family val="2"/>
          </rPr>
          <t xml:space="preserve">
TOTAL ACUMULADO
</t>
        </r>
      </text>
    </comment>
    <comment ref="K7" authorId="0" shapeId="0" xr:uid="{A6D17DD3-3A1B-44E2-A3D1-CBB833E98F7A}">
      <text>
        <r>
          <rPr>
            <b/>
            <sz val="9"/>
            <color indexed="81"/>
            <rFont val="Segoe UI"/>
            <family val="2"/>
          </rPr>
          <t>Roberto:</t>
        </r>
        <r>
          <rPr>
            <sz val="9"/>
            <color indexed="81"/>
            <rFont val="Segoe UI"/>
            <family val="2"/>
          </rPr>
          <t xml:space="preserve">
% DE ÓBITOS X CONTÁGIOS
</t>
        </r>
      </text>
    </comment>
    <comment ref="K18" authorId="0" shapeId="0" xr:uid="{1595F2F7-129E-446C-903E-AECD33E711E8}">
      <text>
        <r>
          <rPr>
            <b/>
            <sz val="9"/>
            <color indexed="81"/>
            <rFont val="Segoe UI"/>
            <family val="2"/>
          </rPr>
          <t>Roberto:</t>
        </r>
        <r>
          <rPr>
            <sz val="9"/>
            <color indexed="81"/>
            <rFont val="Segoe UI"/>
            <family val="2"/>
          </rPr>
          <t xml:space="preserve">
MÉDIA DE 7 DIAS</t>
        </r>
      </text>
    </comment>
  </commentList>
</comments>
</file>

<file path=xl/sharedStrings.xml><?xml version="1.0" encoding="utf-8"?>
<sst xmlns="http://schemas.openxmlformats.org/spreadsheetml/2006/main" count="122" uniqueCount="89">
  <si>
    <t>DADOS PARA CÁLCULO DO NS0</t>
  </si>
  <si>
    <t>DIMENSÃO 1 - EPIDEMIOLÓGICA</t>
  </si>
  <si>
    <t>Dias</t>
  </si>
  <si>
    <t>MÉDIA 7 DIAS</t>
  </si>
  <si>
    <t>CÁLCULO</t>
  </si>
  <si>
    <t>Interpretação</t>
  </si>
  <si>
    <t>Pontuação relacionada ao Cálculo NS0</t>
  </si>
  <si>
    <t>NS0</t>
  </si>
  <si>
    <t>TOTAL</t>
  </si>
  <si>
    <t>IMPACTO</t>
  </si>
  <si>
    <t>Taxa de Incidência - ativos e por 100 mil habitantes</t>
  </si>
  <si>
    <t>Por 100 mil hab.</t>
  </si>
  <si>
    <t>até 300</t>
  </si>
  <si>
    <t>&gt; 300</t>
  </si>
  <si>
    <t>&gt; 450</t>
  </si>
  <si>
    <t>&gt; 600</t>
  </si>
  <si>
    <t>&gt; 750</t>
  </si>
  <si>
    <t xml:space="preserve">Taxa de mortalidade total e por 100 mil habitantes </t>
  </si>
  <si>
    <t>até 30</t>
  </si>
  <si>
    <t>&gt; 30</t>
  </si>
  <si>
    <t>&gt; 45</t>
  </si>
  <si>
    <t>&gt; 60</t>
  </si>
  <si>
    <t>&gt; 75</t>
  </si>
  <si>
    <t>Taxa de letalidade (% de óbitos)</t>
  </si>
  <si>
    <t xml:space="preserve">Óbitos para cada 100 contágios </t>
  </si>
  <si>
    <t>até 1%</t>
  </si>
  <si>
    <t>&gt; 1%</t>
  </si>
  <si>
    <t>&gt; 2%</t>
  </si>
  <si>
    <t>&gt; 3%</t>
  </si>
  <si>
    <t>&gt; 4%</t>
  </si>
  <si>
    <t>Total de casos já registrados (base de cálculo item 3)</t>
  </si>
  <si>
    <t>DIMENSÃO 2 - CAPACIDADE HOSPITALAR</t>
  </si>
  <si>
    <t xml:space="preserve">MÉDIAS </t>
  </si>
  <si>
    <t>CÁLCULO TOTAL</t>
  </si>
  <si>
    <t>Base: Dados divulgados PMC e HRO</t>
  </si>
  <si>
    <t>Pontuação x Cálculo</t>
  </si>
  <si>
    <t>NS0 MÍNIMO</t>
  </si>
  <si>
    <t>Taxa de Ocupação hospitalar (% UTI PÚBLICA)</t>
  </si>
  <si>
    <t>Média de Leitos de UTI Pública Ocupados no período</t>
  </si>
  <si>
    <t>até 20%</t>
  </si>
  <si>
    <t>&gt; 20%</t>
  </si>
  <si>
    <t>&gt; 50%</t>
  </si>
  <si>
    <t>&gt; 70%</t>
  </si>
  <si>
    <t>&gt; 80%</t>
  </si>
  <si>
    <t>DIMENSÃO 3 - VULNERAB. COMUNID.  ACADÊMICA</t>
  </si>
  <si>
    <t>CALCULO</t>
  </si>
  <si>
    <t>Casos com covid19, em coabitação ou contato com indivíduos suspeitos ou diagnosticados com Covid19</t>
  </si>
  <si>
    <t>Da Comunidade Acadêmica</t>
  </si>
  <si>
    <t>&gt; 1 %</t>
  </si>
  <si>
    <t>DIMENSÃO 4 - VACINAÇÃO/IMUNIZAÇÃO</t>
  </si>
  <si>
    <t>NS0 - VACINAÇÃO</t>
  </si>
  <si>
    <t>FATOR DE</t>
  </si>
  <si>
    <t>RISCO</t>
  </si>
  <si>
    <t>Servidores imunizados (28 dias após 2a. Dose)</t>
  </si>
  <si>
    <t>dos servidores</t>
  </si>
  <si>
    <t>80% ou &gt;</t>
  </si>
  <si>
    <t>&lt; 80%</t>
  </si>
  <si>
    <t>&lt; 60%</t>
  </si>
  <si>
    <t>&lt; 40%</t>
  </si>
  <si>
    <t>&lt; 20%</t>
  </si>
  <si>
    <t>Estudantes imunizados (28 dias após 2a. Dose)</t>
  </si>
  <si>
    <t>dos estudantes</t>
  </si>
  <si>
    <t>Total da Comunidade Acadêmica</t>
  </si>
  <si>
    <t>da C.A. do campus</t>
  </si>
  <si>
    <t>Quantitativo Comunidade Acadêmica interna</t>
  </si>
  <si>
    <t>Qt</t>
  </si>
  <si>
    <t>%</t>
  </si>
  <si>
    <t>População de Chapecó (fonte: IBGE, 2020)</t>
  </si>
  <si>
    <t>NS0 PARCIAL</t>
  </si>
  <si>
    <t>NS0 FINAL</t>
  </si>
  <si>
    <t>Servidores TAE + Estagiários</t>
  </si>
  <si>
    <t xml:space="preserve">https://cidades.ibge.gov.br/brasil/sc/chapeco/panorama </t>
  </si>
  <si>
    <t>Dimensão 1</t>
  </si>
  <si>
    <t>NS0 Parcial</t>
  </si>
  <si>
    <t>Servidores Docentes Efetivos + substitutos (15)</t>
  </si>
  <si>
    <t>Qtd</t>
  </si>
  <si>
    <t>Índice 100 mil Habit.</t>
  </si>
  <si>
    <t>Dimensão 2</t>
  </si>
  <si>
    <t>NS0 Vacinação (Dim. 4)</t>
  </si>
  <si>
    <t>Estudantes Graduação</t>
  </si>
  <si>
    <t>Estimada 2020</t>
  </si>
  <si>
    <t>Dimensão 3</t>
  </si>
  <si>
    <t>Risco com vacinação</t>
  </si>
  <si>
    <t>Estudantes Pós-graduação</t>
  </si>
  <si>
    <t>Censo 2010</t>
  </si>
  <si>
    <t>Média 1 a 3</t>
  </si>
  <si>
    <t>Índice de redução NS0</t>
  </si>
  <si>
    <t xml:space="preserve">Total </t>
  </si>
  <si>
    <t>Censo 2011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</si>
</sst>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0.0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9"/>
      <color theme="8" tint="-0.499984740745262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9"/>
      <color theme="8" tint="-0.499984740745262"/>
      <name val="Calibri"/>
      <family val="2"/>
      <scheme val="minor"/>
    </font>
    <font>
      <b/>
      <sz val="22"/>
      <color theme="8" tint="-0.499984740745262"/>
      <name val="Calibri"/>
      <family val="2"/>
      <scheme val="minor"/>
    </font>
    <font>
      <sz val="9"/>
      <name val="Calibri"/>
      <family val="2"/>
      <scheme val="minor"/>
    </font>
    <font>
      <sz val="8"/>
      <name val="Calibri"/>
      <family val="2"/>
      <scheme val="minor"/>
    </font>
    <font>
      <sz val="9"/>
      <color theme="2" tint="-0.499984740745262"/>
      <name val="Calibri"/>
      <family val="2"/>
      <scheme val="minor"/>
    </font>
    <font>
      <sz val="8"/>
      <color theme="2" tint="-0.499984740745262"/>
      <name val="Calibri"/>
      <family val="2"/>
      <scheme val="minor"/>
    </font>
    <font>
      <b/>
      <sz val="9"/>
      <color rgb="FF002060"/>
      <name val="Calibri"/>
      <family val="2"/>
      <scheme val="minor"/>
    </font>
    <font>
      <b/>
      <sz val="20"/>
      <color theme="8" tint="-0.499984740745262"/>
      <name val="Calibri"/>
      <family val="2"/>
      <scheme val="minor"/>
    </font>
    <font>
      <b/>
      <sz val="22"/>
      <color rgb="FF002060"/>
      <name val="Calibri"/>
      <family val="2"/>
      <scheme val="minor"/>
    </font>
    <font>
      <b/>
      <sz val="14"/>
      <color theme="8" tint="-0.249977111117893"/>
      <name val="Calibri"/>
      <family val="2"/>
      <scheme val="minor"/>
    </font>
    <font>
      <u/>
      <sz val="9"/>
      <color theme="10"/>
      <name val="Calibri"/>
      <family val="2"/>
      <scheme val="minor"/>
    </font>
    <font>
      <sz val="9"/>
      <color rgb="FF002060"/>
      <name val="Calibri"/>
      <family val="2"/>
      <scheme val="minor"/>
    </font>
    <font>
      <b/>
      <sz val="28"/>
      <color rgb="FF002060"/>
      <name val="Calibri"/>
      <family val="2"/>
      <scheme val="minor"/>
    </font>
    <font>
      <b/>
      <sz val="48"/>
      <color rgb="FF002060"/>
      <name val="Calibri"/>
      <family val="2"/>
      <scheme val="minor"/>
    </font>
    <font>
      <b/>
      <sz val="9"/>
      <color indexed="81"/>
      <name val="Segoe UI"/>
      <family val="2"/>
    </font>
    <font>
      <sz val="9"/>
      <color indexed="81"/>
      <name val="Segoe UI"/>
      <family val="2"/>
    </font>
  </fonts>
  <fills count="17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319">
    <xf numFmtId="0" fontId="0" fillId="0" borderId="0" xfId="0"/>
    <xf numFmtId="0" fontId="3" fillId="2" borderId="0" xfId="0" applyFont="1" applyFill="1" applyAlignment="1">
      <alignment horizontal="right" vertical="center" wrapText="1"/>
    </xf>
    <xf numFmtId="0" fontId="4" fillId="2" borderId="0" xfId="0" applyFont="1" applyFill="1" applyAlignment="1">
      <alignment horizontal="right" vertical="center" wrapText="1"/>
    </xf>
    <xf numFmtId="0" fontId="5" fillId="2" borderId="0" xfId="0" applyFont="1" applyFill="1" applyAlignment="1">
      <alignment horizontal="right" vertical="center" wrapText="1"/>
    </xf>
    <xf numFmtId="0" fontId="3" fillId="0" borderId="0" xfId="0" applyFont="1" applyAlignment="1">
      <alignment vertical="center" wrapText="1"/>
    </xf>
    <xf numFmtId="0" fontId="7" fillId="3" borderId="3" xfId="0" applyFont="1" applyFill="1" applyBorder="1" applyAlignment="1">
      <alignment vertical="center" wrapText="1"/>
    </xf>
    <xf numFmtId="0" fontId="7" fillId="3" borderId="4" xfId="0" applyFont="1" applyFill="1" applyBorder="1" applyAlignment="1">
      <alignment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0" fontId="13" fillId="5" borderId="4" xfId="0" applyFont="1" applyFill="1" applyBorder="1" applyAlignment="1">
      <alignment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center" vertical="center" wrapText="1"/>
    </xf>
    <xf numFmtId="0" fontId="10" fillId="4" borderId="10" xfId="0" applyFont="1" applyFill="1" applyBorder="1" applyAlignment="1">
      <alignment horizontal="center" vertical="center" wrapText="1"/>
    </xf>
    <xf numFmtId="0" fontId="10" fillId="4" borderId="11" xfId="0" applyFont="1" applyFill="1" applyBorder="1" applyAlignment="1">
      <alignment horizontal="center" vertical="center" wrapText="1"/>
    </xf>
    <xf numFmtId="0" fontId="10" fillId="4" borderId="9" xfId="0" applyFont="1" applyFill="1" applyBorder="1" applyAlignment="1">
      <alignment horizontal="center" vertical="center" wrapText="1"/>
    </xf>
    <xf numFmtId="0" fontId="13" fillId="5" borderId="10" xfId="0" applyFont="1" applyFill="1" applyBorder="1" applyAlignment="1">
      <alignment horizontal="center" vertical="center" wrapText="1"/>
    </xf>
    <xf numFmtId="0" fontId="13" fillId="5" borderId="11" xfId="0" applyFont="1" applyFill="1" applyBorder="1" applyAlignment="1">
      <alignment horizontal="center" vertical="center" wrapText="1"/>
    </xf>
    <xf numFmtId="0" fontId="13" fillId="5" borderId="8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left" vertical="center" wrapText="1"/>
    </xf>
    <xf numFmtId="0" fontId="3" fillId="7" borderId="5" xfId="0" applyFont="1" applyFill="1" applyBorder="1" applyAlignment="1">
      <alignment horizontal="center" vertical="center" wrapText="1"/>
    </xf>
    <xf numFmtId="0" fontId="3" fillId="7" borderId="3" xfId="0" applyFont="1" applyFill="1" applyBorder="1" applyAlignment="1">
      <alignment horizontal="center" vertical="center" wrapText="1"/>
    </xf>
    <xf numFmtId="0" fontId="3" fillId="7" borderId="4" xfId="0" applyFont="1" applyFill="1" applyBorder="1" applyAlignment="1">
      <alignment horizontal="center" vertical="center" wrapText="1"/>
    </xf>
    <xf numFmtId="164" fontId="3" fillId="8" borderId="4" xfId="1" applyNumberFormat="1" applyFont="1" applyFill="1" applyBorder="1" applyAlignment="1">
      <alignment horizontal="center" vertical="center" wrapText="1"/>
    </xf>
    <xf numFmtId="43" fontId="14" fillId="6" borderId="5" xfId="1" applyFont="1" applyFill="1" applyBorder="1" applyAlignment="1">
      <alignment vertical="center" wrapText="1"/>
    </xf>
    <xf numFmtId="43" fontId="5" fillId="6" borderId="4" xfId="1" applyFont="1" applyFill="1" applyBorder="1" applyAlignment="1">
      <alignment horizontal="left" vertical="center" wrapText="1" indent="1"/>
    </xf>
    <xf numFmtId="2" fontId="3" fillId="6" borderId="7" xfId="1" applyNumberFormat="1" applyFont="1" applyFill="1" applyBorder="1" applyAlignment="1">
      <alignment horizontal="center" vertical="center" wrapText="1"/>
    </xf>
    <xf numFmtId="2" fontId="3" fillId="6" borderId="4" xfId="1" applyNumberFormat="1" applyFont="1" applyFill="1" applyBorder="1" applyAlignment="1">
      <alignment horizontal="center" vertical="center" wrapText="1"/>
    </xf>
    <xf numFmtId="2" fontId="3" fillId="9" borderId="4" xfId="1" applyNumberFormat="1" applyFont="1" applyFill="1" applyBorder="1" applyAlignment="1">
      <alignment horizontal="center" vertical="center" wrapText="1"/>
    </xf>
    <xf numFmtId="2" fontId="3" fillId="9" borderId="3" xfId="1" applyNumberFormat="1" applyFont="1" applyFill="1" applyBorder="1" applyAlignment="1">
      <alignment horizontal="center" vertical="center" wrapText="1"/>
    </xf>
    <xf numFmtId="2" fontId="15" fillId="5" borderId="12" xfId="1" applyNumberFormat="1" applyFont="1" applyFill="1" applyBorder="1" applyAlignment="1">
      <alignment horizontal="center" vertical="center" wrapText="1"/>
    </xf>
    <xf numFmtId="0" fontId="3" fillId="6" borderId="13" xfId="0" applyFont="1" applyFill="1" applyBorder="1" applyAlignment="1">
      <alignment horizontal="center" vertical="center" wrapText="1"/>
    </xf>
    <xf numFmtId="0" fontId="3" fillId="6" borderId="0" xfId="0" applyFont="1" applyFill="1" applyAlignment="1">
      <alignment horizontal="left" vertical="center" wrapText="1"/>
    </xf>
    <xf numFmtId="0" fontId="3" fillId="7" borderId="13" xfId="0" applyFont="1" applyFill="1" applyBorder="1" applyAlignment="1">
      <alignment horizontal="center" vertical="center" wrapText="1"/>
    </xf>
    <xf numFmtId="0" fontId="3" fillId="7" borderId="0" xfId="0" applyFont="1" applyFill="1" applyAlignment="1">
      <alignment horizontal="center" vertical="center" wrapText="1"/>
    </xf>
    <xf numFmtId="0" fontId="3" fillId="7" borderId="14" xfId="0" applyFont="1" applyFill="1" applyBorder="1" applyAlignment="1">
      <alignment horizontal="center" vertical="center" wrapText="1"/>
    </xf>
    <xf numFmtId="43" fontId="17" fillId="8" borderId="14" xfId="1" applyFont="1" applyFill="1" applyBorder="1" applyAlignment="1">
      <alignment horizontal="center" vertical="center" wrapText="1"/>
    </xf>
    <xf numFmtId="43" fontId="14" fillId="6" borderId="13" xfId="1" applyFont="1" applyFill="1" applyBorder="1" applyAlignment="1">
      <alignment vertical="center" wrapText="1"/>
    </xf>
    <xf numFmtId="43" fontId="18" fillId="6" borderId="14" xfId="1" applyFont="1" applyFill="1" applyBorder="1" applyAlignment="1">
      <alignment horizontal="left" vertical="center" wrapText="1" indent="1"/>
    </xf>
    <xf numFmtId="2" fontId="3" fillId="0" borderId="0" xfId="0" applyNumberFormat="1" applyFont="1" applyAlignment="1">
      <alignment vertical="center" wrapText="1"/>
    </xf>
    <xf numFmtId="10" fontId="3" fillId="6" borderId="13" xfId="2" applyNumberFormat="1" applyFont="1" applyFill="1" applyBorder="1" applyAlignment="1">
      <alignment horizontal="center" vertical="center" wrapText="1"/>
    </xf>
    <xf numFmtId="10" fontId="3" fillId="6" borderId="0" xfId="2" applyNumberFormat="1" applyFont="1" applyFill="1" applyBorder="1" applyAlignment="1">
      <alignment horizontal="center" vertical="center" wrapText="1"/>
    </xf>
    <xf numFmtId="10" fontId="3" fillId="6" borderId="14" xfId="2" applyNumberFormat="1" applyFont="1" applyFill="1" applyBorder="1" applyAlignment="1">
      <alignment horizontal="center" vertical="center" wrapText="1"/>
    </xf>
    <xf numFmtId="10" fontId="3" fillId="8" borderId="14" xfId="2" applyNumberFormat="1" applyFont="1" applyFill="1" applyBorder="1" applyAlignment="1">
      <alignment horizontal="center" vertical="center" wrapText="1"/>
    </xf>
    <xf numFmtId="10" fontId="5" fillId="6" borderId="14" xfId="2" applyNumberFormat="1" applyFont="1" applyFill="1" applyBorder="1" applyAlignment="1">
      <alignment horizontal="left" vertical="center" wrapText="1" indent="1"/>
    </xf>
    <xf numFmtId="0" fontId="19" fillId="7" borderId="8" xfId="0" applyFont="1" applyFill="1" applyBorder="1" applyAlignment="1">
      <alignment vertical="center" wrapText="1"/>
    </xf>
    <xf numFmtId="0" fontId="19" fillId="7" borderId="9" xfId="0" applyFont="1" applyFill="1" applyBorder="1" applyAlignment="1">
      <alignment vertical="center" wrapText="1"/>
    </xf>
    <xf numFmtId="0" fontId="19" fillId="7" borderId="11" xfId="0" applyFont="1" applyFill="1" applyBorder="1" applyAlignment="1">
      <alignment vertical="center" wrapText="1"/>
    </xf>
    <xf numFmtId="164" fontId="19" fillId="8" borderId="11" xfId="1" applyNumberFormat="1" applyFont="1" applyFill="1" applyBorder="1" applyAlignment="1">
      <alignment horizontal="center" vertical="center" wrapText="1"/>
    </xf>
    <xf numFmtId="164" fontId="14" fillId="6" borderId="8" xfId="1" applyNumberFormat="1" applyFont="1" applyFill="1" applyBorder="1" applyAlignment="1">
      <alignment vertical="center" wrapText="1"/>
    </xf>
    <xf numFmtId="43" fontId="20" fillId="6" borderId="11" xfId="1" applyFont="1" applyFill="1" applyBorder="1" applyAlignment="1">
      <alignment horizontal="left" vertical="center" wrapText="1" indent="1"/>
    </xf>
    <xf numFmtId="1" fontId="7" fillId="10" borderId="2" xfId="1" applyNumberFormat="1" applyFont="1" applyFill="1" applyBorder="1" applyAlignment="1">
      <alignment horizontal="center" vertical="center" wrapText="1"/>
    </xf>
    <xf numFmtId="1" fontId="13" fillId="5" borderId="12" xfId="1" applyNumberFormat="1" applyFont="1" applyFill="1" applyBorder="1" applyAlignment="1">
      <alignment horizontal="center" vertical="center" wrapText="1"/>
    </xf>
    <xf numFmtId="0" fontId="10" fillId="11" borderId="1" xfId="0" applyFont="1" applyFill="1" applyBorder="1" applyAlignment="1">
      <alignment horizontal="center" vertical="center" wrapText="1"/>
    </xf>
    <xf numFmtId="0" fontId="10" fillId="11" borderId="2" xfId="0" applyFont="1" applyFill="1" applyBorder="1" applyAlignment="1">
      <alignment horizontal="center" vertical="center" wrapText="1"/>
    </xf>
    <xf numFmtId="0" fontId="10" fillId="11" borderId="6" xfId="0" applyFont="1" applyFill="1" applyBorder="1" applyAlignment="1">
      <alignment horizontal="center" vertical="center" wrapText="1"/>
    </xf>
    <xf numFmtId="0" fontId="10" fillId="11" borderId="10" xfId="0" applyFont="1" applyFill="1" applyBorder="1" applyAlignment="1">
      <alignment horizontal="center" vertical="center" wrapText="1"/>
    </xf>
    <xf numFmtId="0" fontId="10" fillId="11" borderId="11" xfId="0" applyFont="1" applyFill="1" applyBorder="1" applyAlignment="1">
      <alignment horizontal="center" vertical="center" wrapText="1"/>
    </xf>
    <xf numFmtId="0" fontId="10" fillId="5" borderId="10" xfId="0" applyFont="1" applyFill="1" applyBorder="1" applyAlignment="1">
      <alignment horizontal="center" vertical="center" wrapText="1"/>
    </xf>
    <xf numFmtId="0" fontId="10" fillId="5" borderId="11" xfId="0" applyFont="1" applyFill="1" applyBorder="1" applyAlignment="1">
      <alignment horizontal="center" vertical="center" wrapText="1"/>
    </xf>
    <xf numFmtId="0" fontId="10" fillId="5" borderId="8" xfId="0" applyFont="1" applyFill="1" applyBorder="1" applyAlignment="1">
      <alignment horizontal="center" vertical="center" wrapText="1"/>
    </xf>
    <xf numFmtId="9" fontId="3" fillId="7" borderId="13" xfId="2" applyFont="1" applyFill="1" applyBorder="1" applyAlignment="1">
      <alignment horizontal="center" vertical="center" wrapText="1"/>
    </xf>
    <xf numFmtId="9" fontId="3" fillId="7" borderId="0" xfId="2" applyFont="1" applyFill="1" applyBorder="1" applyAlignment="1">
      <alignment horizontal="center" vertical="center" wrapText="1"/>
    </xf>
    <xf numFmtId="9" fontId="3" fillId="7" borderId="14" xfId="2" applyFont="1" applyFill="1" applyBorder="1" applyAlignment="1">
      <alignment horizontal="center" vertical="center" wrapText="1"/>
    </xf>
    <xf numFmtId="10" fontId="10" fillId="8" borderId="6" xfId="2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49" fontId="10" fillId="11" borderId="1" xfId="1" applyNumberFormat="1" applyFont="1" applyFill="1" applyBorder="1" applyAlignment="1">
      <alignment horizontal="center" vertical="center" wrapText="1"/>
    </xf>
    <xf numFmtId="49" fontId="10" fillId="11" borderId="2" xfId="1" applyNumberFormat="1" applyFont="1" applyFill="1" applyBorder="1" applyAlignment="1">
      <alignment horizontal="center" vertical="center" wrapText="1"/>
    </xf>
    <xf numFmtId="49" fontId="10" fillId="11" borderId="6" xfId="1" applyNumberFormat="1" applyFont="1" applyFill="1" applyBorder="1" applyAlignment="1">
      <alignment horizontal="center" vertical="center" wrapText="1"/>
    </xf>
    <xf numFmtId="10" fontId="3" fillId="12" borderId="14" xfId="2" applyNumberFormat="1" applyFont="1" applyFill="1" applyBorder="1" applyAlignment="1">
      <alignment horizontal="center" vertical="center" wrapText="1"/>
    </xf>
    <xf numFmtId="9" fontId="3" fillId="7" borderId="8" xfId="2" applyFont="1" applyFill="1" applyBorder="1" applyAlignment="1">
      <alignment horizontal="center" vertical="center" wrapText="1"/>
    </xf>
    <xf numFmtId="9" fontId="3" fillId="7" borderId="9" xfId="2" applyFont="1" applyFill="1" applyBorder="1" applyAlignment="1">
      <alignment horizontal="center" vertical="center" wrapText="1"/>
    </xf>
    <xf numFmtId="9" fontId="3" fillId="7" borderId="11" xfId="2" applyFont="1" applyFill="1" applyBorder="1" applyAlignment="1">
      <alignment horizontal="center" vertical="center" wrapText="1"/>
    </xf>
    <xf numFmtId="10" fontId="10" fillId="8" borderId="11" xfId="2" applyNumberFormat="1" applyFont="1" applyFill="1" applyBorder="1" applyAlignment="1">
      <alignment horizontal="center" vertical="center" wrapText="1"/>
    </xf>
    <xf numFmtId="0" fontId="10" fillId="13" borderId="5" xfId="0" applyFont="1" applyFill="1" applyBorder="1" applyAlignment="1">
      <alignment horizontal="center" vertical="center" wrapText="1"/>
    </xf>
    <xf numFmtId="0" fontId="10" fillId="13" borderId="3" xfId="0" applyFont="1" applyFill="1" applyBorder="1" applyAlignment="1">
      <alignment horizontal="center" vertical="center" wrapText="1"/>
    </xf>
    <xf numFmtId="0" fontId="10" fillId="13" borderId="4" xfId="0" applyFont="1" applyFill="1" applyBorder="1" applyAlignment="1">
      <alignment horizontal="center" vertical="center" wrapText="1"/>
    </xf>
    <xf numFmtId="0" fontId="10" fillId="13" borderId="10" xfId="0" applyFont="1" applyFill="1" applyBorder="1" applyAlignment="1">
      <alignment horizontal="center" vertical="center" wrapText="1"/>
    </xf>
    <xf numFmtId="0" fontId="10" fillId="13" borderId="11" xfId="0" applyFont="1" applyFill="1" applyBorder="1" applyAlignment="1">
      <alignment horizontal="center" vertical="center" wrapText="1"/>
    </xf>
    <xf numFmtId="0" fontId="10" fillId="13" borderId="9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left" vertical="center" wrapText="1"/>
    </xf>
    <xf numFmtId="0" fontId="3" fillId="7" borderId="1" xfId="0" applyFont="1" applyFill="1" applyBorder="1" applyAlignment="1">
      <alignment horizontal="center" vertical="center" wrapText="1"/>
    </xf>
    <xf numFmtId="0" fontId="3" fillId="7" borderId="2" xfId="0" applyFont="1" applyFill="1" applyBorder="1" applyAlignment="1">
      <alignment horizontal="center" vertical="center" wrapText="1"/>
    </xf>
    <xf numFmtId="0" fontId="3" fillId="7" borderId="6" xfId="0" applyFont="1" applyFill="1" applyBorder="1" applyAlignment="1">
      <alignment horizontal="center" vertical="center" wrapText="1"/>
    </xf>
    <xf numFmtId="43" fontId="3" fillId="8" borderId="6" xfId="1" applyFont="1" applyFill="1" applyBorder="1" applyAlignment="1">
      <alignment horizontal="center" vertical="center" wrapText="1"/>
    </xf>
    <xf numFmtId="10" fontId="14" fillId="6" borderId="1" xfId="2" applyNumberFormat="1" applyFont="1" applyFill="1" applyBorder="1" applyAlignment="1">
      <alignment horizontal="right" vertical="center" wrapText="1"/>
    </xf>
    <xf numFmtId="43" fontId="5" fillId="6" borderId="2" xfId="1" applyFont="1" applyFill="1" applyBorder="1" applyAlignment="1">
      <alignment horizontal="left" vertical="center" wrapText="1" indent="1"/>
    </xf>
    <xf numFmtId="1" fontId="3" fillId="6" borderId="12" xfId="1" applyNumberFormat="1" applyFont="1" applyFill="1" applyBorder="1" applyAlignment="1">
      <alignment horizontal="center" vertical="center"/>
    </xf>
    <xf numFmtId="1" fontId="3" fillId="6" borderId="12" xfId="1" applyNumberFormat="1" applyFont="1" applyFill="1" applyBorder="1" applyAlignment="1">
      <alignment horizontal="center" vertical="center" wrapText="1"/>
    </xf>
    <xf numFmtId="2" fontId="3" fillId="9" borderId="12" xfId="1" applyNumberFormat="1" applyFont="1" applyFill="1" applyBorder="1" applyAlignment="1">
      <alignment horizontal="center" vertical="center" wrapText="1"/>
    </xf>
    <xf numFmtId="1" fontId="15" fillId="5" borderId="12" xfId="1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4" fillId="2" borderId="0" xfId="0" applyFont="1" applyFill="1" applyAlignment="1">
      <alignment vertical="center" wrapText="1"/>
    </xf>
    <xf numFmtId="0" fontId="5" fillId="2" borderId="0" xfId="0" applyFont="1" applyFill="1" applyAlignment="1">
      <alignment vertical="center" wrapText="1"/>
    </xf>
    <xf numFmtId="0" fontId="13" fillId="5" borderId="4" xfId="0" applyFont="1" applyFill="1" applyBorder="1" applyAlignment="1">
      <alignment horizontal="center" vertical="center" wrapText="1"/>
    </xf>
    <xf numFmtId="0" fontId="10" fillId="14" borderId="5" xfId="0" applyFont="1" applyFill="1" applyBorder="1" applyAlignment="1">
      <alignment horizontal="center" vertical="center" wrapText="1"/>
    </xf>
    <xf numFmtId="0" fontId="10" fillId="14" borderId="3" xfId="0" applyFont="1" applyFill="1" applyBorder="1" applyAlignment="1">
      <alignment horizontal="center" vertical="center" wrapText="1"/>
    </xf>
    <xf numFmtId="0" fontId="10" fillId="14" borderId="4" xfId="0" applyFont="1" applyFill="1" applyBorder="1" applyAlignment="1">
      <alignment horizontal="center" vertical="center" wrapText="1"/>
    </xf>
    <xf numFmtId="0" fontId="10" fillId="14" borderId="10" xfId="0" applyFont="1" applyFill="1" applyBorder="1" applyAlignment="1">
      <alignment horizontal="center" vertical="center" wrapText="1"/>
    </xf>
    <xf numFmtId="0" fontId="10" fillId="14" borderId="11" xfId="0" applyFont="1" applyFill="1" applyBorder="1" applyAlignment="1">
      <alignment horizontal="center" vertical="center" wrapText="1"/>
    </xf>
    <xf numFmtId="0" fontId="10" fillId="14" borderId="9" xfId="0" applyFont="1" applyFill="1" applyBorder="1" applyAlignment="1">
      <alignment horizontal="center" vertical="center" wrapText="1"/>
    </xf>
    <xf numFmtId="0" fontId="3" fillId="15" borderId="1" xfId="0" applyFont="1" applyFill="1" applyBorder="1" applyAlignment="1">
      <alignment horizontal="center" vertical="center" wrapText="1"/>
    </xf>
    <xf numFmtId="0" fontId="3" fillId="15" borderId="6" xfId="0" applyFont="1" applyFill="1" applyBorder="1" applyAlignment="1">
      <alignment horizontal="left" vertical="center" wrapText="1"/>
    </xf>
    <xf numFmtId="164" fontId="3" fillId="15" borderId="7" xfId="1" applyNumberFormat="1" applyFont="1" applyFill="1" applyBorder="1" applyAlignment="1">
      <alignment horizontal="center" vertical="center" wrapText="1"/>
    </xf>
    <xf numFmtId="10" fontId="14" fillId="15" borderId="3" xfId="2" applyNumberFormat="1" applyFont="1" applyFill="1" applyBorder="1" applyAlignment="1">
      <alignment vertical="center" wrapText="1"/>
    </xf>
    <xf numFmtId="43" fontId="5" fillId="15" borderId="4" xfId="1" applyFont="1" applyFill="1" applyBorder="1" applyAlignment="1">
      <alignment horizontal="left" vertical="center" wrapText="1" indent="1"/>
    </xf>
    <xf numFmtId="9" fontId="3" fillId="6" borderId="5" xfId="2" applyFont="1" applyFill="1" applyBorder="1" applyAlignment="1">
      <alignment horizontal="center" vertical="center"/>
    </xf>
    <xf numFmtId="1" fontId="3" fillId="6" borderId="3" xfId="1" applyNumberFormat="1" applyFont="1" applyFill="1" applyBorder="1" applyAlignment="1">
      <alignment horizontal="center" vertical="center"/>
    </xf>
    <xf numFmtId="1" fontId="3" fillId="6" borderId="3" xfId="1" applyNumberFormat="1" applyFont="1" applyFill="1" applyBorder="1" applyAlignment="1">
      <alignment horizontal="center" vertical="center" wrapText="1"/>
    </xf>
    <xf numFmtId="1" fontId="15" fillId="14" borderId="7" xfId="1" applyNumberFormat="1" applyFont="1" applyFill="1" applyBorder="1" applyAlignment="1">
      <alignment horizontal="center" vertical="center" wrapText="1"/>
    </xf>
    <xf numFmtId="0" fontId="3" fillId="15" borderId="8" xfId="0" applyFont="1" applyFill="1" applyBorder="1" applyAlignment="1">
      <alignment horizontal="center" vertical="center" wrapText="1"/>
    </xf>
    <xf numFmtId="43" fontId="5" fillId="15" borderId="14" xfId="1" applyFont="1" applyFill="1" applyBorder="1" applyAlignment="1">
      <alignment horizontal="left" vertical="center" wrapText="1" indent="1"/>
    </xf>
    <xf numFmtId="2" fontId="3" fillId="9" borderId="7" xfId="1" applyNumberFormat="1" applyFont="1" applyFill="1" applyBorder="1" applyAlignment="1">
      <alignment horizontal="center" vertical="center" wrapText="1"/>
    </xf>
    <xf numFmtId="0" fontId="3" fillId="14" borderId="8" xfId="0" applyFont="1" applyFill="1" applyBorder="1" applyAlignment="1">
      <alignment vertical="center" wrapText="1"/>
    </xf>
    <xf numFmtId="0" fontId="3" fillId="14" borderId="9" xfId="0" applyFont="1" applyFill="1" applyBorder="1" applyAlignment="1">
      <alignment vertical="center" wrapText="1"/>
    </xf>
    <xf numFmtId="0" fontId="3" fillId="14" borderId="2" xfId="0" applyFont="1" applyFill="1" applyBorder="1" applyAlignment="1">
      <alignment horizontal="right" vertical="center" wrapText="1"/>
    </xf>
    <xf numFmtId="164" fontId="3" fillId="14" borderId="2" xfId="1" applyNumberFormat="1" applyFont="1" applyFill="1" applyBorder="1" applyAlignment="1">
      <alignment horizontal="right" vertical="center" wrapText="1"/>
    </xf>
    <xf numFmtId="10" fontId="14" fillId="15" borderId="2" xfId="2" applyNumberFormat="1" applyFont="1" applyFill="1" applyBorder="1" applyAlignment="1">
      <alignment horizontal="right" vertical="center" wrapText="1"/>
    </xf>
    <xf numFmtId="0" fontId="5" fillId="15" borderId="2" xfId="0" applyFont="1" applyFill="1" applyBorder="1" applyAlignment="1">
      <alignment horizontal="center" vertical="center" wrapText="1"/>
    </xf>
    <xf numFmtId="9" fontId="3" fillId="6" borderId="1" xfId="2" applyFont="1" applyFill="1" applyBorder="1" applyAlignment="1">
      <alignment horizontal="center" vertical="center"/>
    </xf>
    <xf numFmtId="1" fontId="3" fillId="6" borderId="2" xfId="1" applyNumberFormat="1" applyFont="1" applyFill="1" applyBorder="1" applyAlignment="1">
      <alignment horizontal="center" vertical="center"/>
    </xf>
    <xf numFmtId="1" fontId="3" fillId="6" borderId="2" xfId="1" applyNumberFormat="1" applyFont="1" applyFill="1" applyBorder="1" applyAlignment="1">
      <alignment horizontal="center" vertical="center" wrapText="1"/>
    </xf>
    <xf numFmtId="1" fontId="3" fillId="6" borderId="6" xfId="1" applyNumberFormat="1" applyFont="1" applyFill="1" applyBorder="1" applyAlignment="1">
      <alignment horizontal="center" vertical="center" wrapText="1"/>
    </xf>
    <xf numFmtId="1" fontId="22" fillId="14" borderId="12" xfId="1" applyNumberFormat="1" applyFont="1" applyFill="1" applyBorder="1" applyAlignment="1">
      <alignment horizontal="center" vertical="center" wrapText="1"/>
    </xf>
    <xf numFmtId="0" fontId="10" fillId="6" borderId="2" xfId="0" applyFont="1" applyFill="1" applyBorder="1" applyAlignment="1">
      <alignment horizontal="center" vertical="center" wrapText="1"/>
    </xf>
    <xf numFmtId="0" fontId="10" fillId="6" borderId="6" xfId="0" applyFont="1" applyFill="1" applyBorder="1" applyAlignment="1">
      <alignment horizontal="center" vertical="center" wrapText="1"/>
    </xf>
    <xf numFmtId="0" fontId="10" fillId="6" borderId="5" xfId="0" applyFont="1" applyFill="1" applyBorder="1" applyAlignment="1">
      <alignment horizontal="left" vertical="center"/>
    </xf>
    <xf numFmtId="0" fontId="3" fillId="6" borderId="3" xfId="0" applyFont="1" applyFill="1" applyBorder="1" applyAlignment="1">
      <alignment horizontal="left" vertical="center"/>
    </xf>
    <xf numFmtId="0" fontId="4" fillId="6" borderId="4" xfId="0" applyFont="1" applyFill="1" applyBorder="1" applyAlignment="1">
      <alignment horizontal="left" vertical="center"/>
    </xf>
    <xf numFmtId="0" fontId="3" fillId="16" borderId="5" xfId="0" applyFont="1" applyFill="1" applyBorder="1" applyAlignment="1">
      <alignment horizontal="left" vertical="center" wrapText="1"/>
    </xf>
    <xf numFmtId="0" fontId="3" fillId="16" borderId="3" xfId="0" applyFont="1" applyFill="1" applyBorder="1" applyAlignment="1">
      <alignment horizontal="left" vertical="center" wrapText="1"/>
    </xf>
    <xf numFmtId="0" fontId="3" fillId="5" borderId="16" xfId="0" applyFont="1" applyFill="1" applyBorder="1" applyAlignment="1">
      <alignment horizontal="left" vertical="center" wrapText="1"/>
    </xf>
    <xf numFmtId="0" fontId="3" fillId="5" borderId="17" xfId="0" applyFont="1" applyFill="1" applyBorder="1" applyAlignment="1">
      <alignment horizontal="left" vertical="center" wrapText="1"/>
    </xf>
    <xf numFmtId="0" fontId="3" fillId="5" borderId="17" xfId="0" applyFont="1" applyFill="1" applyBorder="1" applyAlignment="1">
      <alignment vertical="center" wrapText="1"/>
    </xf>
    <xf numFmtId="0" fontId="3" fillId="6" borderId="13" xfId="0" applyFont="1" applyFill="1" applyBorder="1" applyAlignment="1">
      <alignment vertical="center" wrapText="1"/>
    </xf>
    <xf numFmtId="0" fontId="3" fillId="6" borderId="0" xfId="0" applyFont="1" applyFill="1" applyAlignment="1">
      <alignment vertical="center" wrapText="1"/>
    </xf>
    <xf numFmtId="0" fontId="3" fillId="7" borderId="7" xfId="0" applyFont="1" applyFill="1" applyBorder="1" applyAlignment="1">
      <alignment horizontal="right" vertical="center" wrapText="1"/>
    </xf>
    <xf numFmtId="43" fontId="3" fillId="6" borderId="14" xfId="1" applyFont="1" applyFill="1" applyBorder="1" applyAlignment="1">
      <alignment vertical="center" wrapText="1"/>
    </xf>
    <xf numFmtId="2" fontId="26" fillId="16" borderId="0" xfId="0" applyNumberFormat="1" applyFont="1" applyFill="1" applyAlignment="1">
      <alignment vertical="center" wrapText="1"/>
    </xf>
    <xf numFmtId="2" fontId="26" fillId="5" borderId="0" xfId="0" applyNumberFormat="1" applyFont="1" applyFill="1" applyAlignment="1">
      <alignment vertical="center" wrapText="1"/>
    </xf>
    <xf numFmtId="0" fontId="3" fillId="7" borderId="15" xfId="0" applyFont="1" applyFill="1" applyBorder="1" applyAlignment="1">
      <alignment horizontal="right" vertical="center" wrapText="1"/>
    </xf>
    <xf numFmtId="0" fontId="3" fillId="6" borderId="13" xfId="0" applyFont="1" applyFill="1" applyBorder="1" applyAlignment="1">
      <alignment horizontal="right" vertical="center" wrapText="1"/>
    </xf>
    <xf numFmtId="0" fontId="25" fillId="6" borderId="0" xfId="3" applyFont="1" applyFill="1" applyBorder="1" applyAlignment="1">
      <alignment horizontal="left" vertical="center" wrapText="1"/>
    </xf>
    <xf numFmtId="0" fontId="3" fillId="6" borderId="9" xfId="0" applyFont="1" applyFill="1" applyBorder="1" applyAlignment="1">
      <alignment horizontal="center" vertical="center" wrapText="1"/>
    </xf>
    <xf numFmtId="43" fontId="3" fillId="6" borderId="5" xfId="0" applyNumberFormat="1" applyFont="1" applyFill="1" applyBorder="1" applyAlignment="1">
      <alignment horizontal="center" vertical="center" wrapText="1"/>
    </xf>
    <xf numFmtId="43" fontId="4" fillId="6" borderId="4" xfId="0" applyNumberFormat="1" applyFont="1" applyFill="1" applyBorder="1" applyAlignment="1">
      <alignment horizontal="center" vertical="center" wrapText="1"/>
    </xf>
    <xf numFmtId="2" fontId="26" fillId="16" borderId="9" xfId="0" applyNumberFormat="1" applyFont="1" applyFill="1" applyBorder="1" applyAlignment="1">
      <alignment vertical="center" wrapText="1"/>
    </xf>
    <xf numFmtId="9" fontId="26" fillId="5" borderId="9" xfId="2" applyFont="1" applyFill="1" applyBorder="1" applyAlignment="1">
      <alignment vertical="center" wrapText="1"/>
    </xf>
    <xf numFmtId="0" fontId="3" fillId="7" borderId="10" xfId="0" applyFont="1" applyFill="1" applyBorder="1" applyAlignment="1">
      <alignment horizontal="right" vertical="center" wrapText="1"/>
    </xf>
    <xf numFmtId="43" fontId="3" fillId="6" borderId="8" xfId="0" applyNumberFormat="1" applyFont="1" applyFill="1" applyBorder="1" applyAlignment="1">
      <alignment horizontal="center" vertical="center" wrapText="1"/>
    </xf>
    <xf numFmtId="43" fontId="4" fillId="6" borderId="11" xfId="0" applyNumberFormat="1" applyFont="1" applyFill="1" applyBorder="1" applyAlignment="1">
      <alignment horizontal="center" vertical="center" wrapText="1"/>
    </xf>
    <xf numFmtId="0" fontId="21" fillId="16" borderId="9" xfId="0" applyFont="1" applyFill="1" applyBorder="1" applyAlignment="1">
      <alignment vertical="center" wrapText="1"/>
    </xf>
    <xf numFmtId="9" fontId="26" fillId="5" borderId="24" xfId="2" applyFont="1" applyFill="1" applyBorder="1" applyAlignment="1">
      <alignment vertical="center" wrapText="1"/>
    </xf>
    <xf numFmtId="0" fontId="3" fillId="6" borderId="1" xfId="0" applyFont="1" applyFill="1" applyBorder="1" applyAlignment="1">
      <alignment vertical="center" wrapText="1"/>
    </xf>
    <xf numFmtId="0" fontId="10" fillId="6" borderId="2" xfId="0" applyFont="1" applyFill="1" applyBorder="1" applyAlignment="1">
      <alignment vertical="center" wrapText="1"/>
    </xf>
    <xf numFmtId="0" fontId="10" fillId="6" borderId="2" xfId="0" applyFont="1" applyFill="1" applyBorder="1" applyAlignment="1">
      <alignment horizontal="right" vertical="center" wrapText="1"/>
    </xf>
    <xf numFmtId="43" fontId="3" fillId="6" borderId="6" xfId="1" applyFont="1" applyFill="1" applyBorder="1" applyAlignment="1">
      <alignment vertical="center" wrapText="1"/>
    </xf>
    <xf numFmtId="0" fontId="3" fillId="0" borderId="0" xfId="0" applyFont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2" fontId="23" fillId="5" borderId="12" xfId="1" applyNumberFormat="1" applyFont="1" applyFill="1" applyBorder="1" applyAlignment="1">
      <alignment horizontal="center" vertical="center" wrapText="1"/>
    </xf>
    <xf numFmtId="0" fontId="3" fillId="7" borderId="5" xfId="0" applyFont="1" applyFill="1" applyBorder="1" applyAlignment="1" applyProtection="1">
      <alignment horizontal="center" vertical="center" wrapText="1"/>
    </xf>
    <xf numFmtId="0" fontId="3" fillId="7" borderId="1" xfId="0" applyFont="1" applyFill="1" applyBorder="1" applyAlignment="1" applyProtection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164" fontId="3" fillId="6" borderId="9" xfId="1" applyNumberFormat="1" applyFont="1" applyFill="1" applyBorder="1" applyAlignment="1">
      <alignment horizontal="center" vertical="center" wrapText="1"/>
    </xf>
    <xf numFmtId="164" fontId="3" fillId="6" borderId="11" xfId="1" applyNumberFormat="1" applyFont="1" applyFill="1" applyBorder="1" applyAlignment="1">
      <alignment horizontal="center" vertical="center" wrapText="1"/>
    </xf>
    <xf numFmtId="0" fontId="21" fillId="16" borderId="1" xfId="0" applyFont="1" applyFill="1" applyBorder="1" applyAlignment="1">
      <alignment horizontal="center" vertical="center" wrapText="1"/>
    </xf>
    <xf numFmtId="0" fontId="21" fillId="16" borderId="2" xfId="0" applyFont="1" applyFill="1" applyBorder="1" applyAlignment="1">
      <alignment horizontal="center" vertical="center" wrapText="1"/>
    </xf>
    <xf numFmtId="0" fontId="26" fillId="5" borderId="23" xfId="0" applyFont="1" applyFill="1" applyBorder="1" applyAlignment="1">
      <alignment horizontal="left" vertical="center" wrapText="1"/>
    </xf>
    <xf numFmtId="0" fontId="26" fillId="5" borderId="24" xfId="0" applyFont="1" applyFill="1" applyBorder="1" applyAlignment="1">
      <alignment horizontal="left" vertical="center" wrapText="1"/>
    </xf>
    <xf numFmtId="0" fontId="3" fillId="6" borderId="8" xfId="0" applyFont="1" applyFill="1" applyBorder="1" applyAlignment="1">
      <alignment horizontal="left" vertical="center" wrapText="1"/>
    </xf>
    <xf numFmtId="0" fontId="3" fillId="6" borderId="9" xfId="0" applyFont="1" applyFill="1" applyBorder="1" applyAlignment="1">
      <alignment horizontal="left" vertical="center" wrapText="1"/>
    </xf>
    <xf numFmtId="43" fontId="3" fillId="6" borderId="8" xfId="0" applyNumberFormat="1" applyFont="1" applyFill="1" applyBorder="1" applyAlignment="1">
      <alignment horizontal="center" vertical="center" wrapText="1"/>
    </xf>
    <xf numFmtId="43" fontId="3" fillId="6" borderId="11" xfId="0" applyNumberFormat="1" applyFont="1" applyFill="1" applyBorder="1" applyAlignment="1">
      <alignment horizontal="center" vertical="center" wrapText="1"/>
    </xf>
    <xf numFmtId="9" fontId="23" fillId="14" borderId="7" xfId="2" applyFont="1" applyFill="1" applyBorder="1" applyAlignment="1">
      <alignment horizontal="center" vertical="center" wrapText="1"/>
    </xf>
    <xf numFmtId="9" fontId="23" fillId="14" borderId="15" xfId="2" applyFont="1" applyFill="1" applyBorder="1" applyAlignment="1">
      <alignment horizontal="center" vertical="center" wrapText="1"/>
    </xf>
    <xf numFmtId="9" fontId="23" fillId="14" borderId="10" xfId="2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 wrapText="1"/>
    </xf>
    <xf numFmtId="0" fontId="10" fillId="6" borderId="2" xfId="0" applyFont="1" applyFill="1" applyBorder="1" applyAlignment="1">
      <alignment horizontal="center" vertical="center" wrapText="1"/>
    </xf>
    <xf numFmtId="0" fontId="13" fillId="16" borderId="3" xfId="0" applyFont="1" applyFill="1" applyBorder="1" applyAlignment="1">
      <alignment horizontal="center" vertical="center" wrapText="1"/>
    </xf>
    <xf numFmtId="0" fontId="13" fillId="16" borderId="4" xfId="0" applyFont="1" applyFill="1" applyBorder="1" applyAlignment="1">
      <alignment horizontal="center" vertical="center" wrapText="1"/>
    </xf>
    <xf numFmtId="0" fontId="24" fillId="5" borderId="17" xfId="0" applyFont="1" applyFill="1" applyBorder="1" applyAlignment="1">
      <alignment horizontal="center" vertical="center" wrapText="1"/>
    </xf>
    <xf numFmtId="0" fontId="24" fillId="5" borderId="18" xfId="0" applyFont="1" applyFill="1" applyBorder="1" applyAlignment="1">
      <alignment horizontal="center" vertical="center" wrapText="1"/>
    </xf>
    <xf numFmtId="0" fontId="25" fillId="6" borderId="13" xfId="3" applyFont="1" applyFill="1" applyBorder="1" applyAlignment="1">
      <alignment horizontal="center" vertical="center" wrapText="1"/>
    </xf>
    <xf numFmtId="0" fontId="25" fillId="6" borderId="0" xfId="3" applyFont="1" applyFill="1" applyBorder="1" applyAlignment="1">
      <alignment horizontal="center" vertical="center" wrapText="1"/>
    </xf>
    <xf numFmtId="0" fontId="25" fillId="6" borderId="14" xfId="3" applyFont="1" applyFill="1" applyBorder="1" applyAlignment="1">
      <alignment horizontal="center" vertical="center" wrapText="1"/>
    </xf>
    <xf numFmtId="0" fontId="26" fillId="16" borderId="13" xfId="0" applyFont="1" applyFill="1" applyBorder="1" applyAlignment="1">
      <alignment horizontal="center" vertical="center" wrapText="1"/>
    </xf>
    <xf numFmtId="0" fontId="26" fillId="16" borderId="0" xfId="0" applyFont="1" applyFill="1" applyAlignment="1">
      <alignment horizontal="center" vertical="center" wrapText="1"/>
    </xf>
    <xf numFmtId="2" fontId="27" fillId="16" borderId="0" xfId="0" applyNumberFormat="1" applyFont="1" applyFill="1" applyAlignment="1">
      <alignment horizontal="center" vertical="center" wrapText="1"/>
    </xf>
    <xf numFmtId="2" fontId="27" fillId="16" borderId="14" xfId="0" applyNumberFormat="1" applyFont="1" applyFill="1" applyBorder="1" applyAlignment="1">
      <alignment horizontal="center" vertical="center" wrapText="1"/>
    </xf>
    <xf numFmtId="2" fontId="27" fillId="16" borderId="9" xfId="0" applyNumberFormat="1" applyFont="1" applyFill="1" applyBorder="1" applyAlignment="1">
      <alignment horizontal="center" vertical="center" wrapText="1"/>
    </xf>
    <xf numFmtId="2" fontId="27" fillId="16" borderId="11" xfId="0" applyNumberFormat="1" applyFont="1" applyFill="1" applyBorder="1" applyAlignment="1">
      <alignment horizontal="center" vertical="center" wrapText="1"/>
    </xf>
    <xf numFmtId="0" fontId="26" fillId="5" borderId="19" xfId="0" applyFont="1" applyFill="1" applyBorder="1" applyAlignment="1">
      <alignment horizontal="left" vertical="center" wrapText="1"/>
    </xf>
    <xf numFmtId="0" fontId="26" fillId="5" borderId="3" xfId="0" applyFont="1" applyFill="1" applyBorder="1" applyAlignment="1">
      <alignment horizontal="left" vertical="center" wrapText="1"/>
    </xf>
    <xf numFmtId="165" fontId="28" fillId="5" borderId="3" xfId="0" applyNumberFormat="1" applyFont="1" applyFill="1" applyBorder="1" applyAlignment="1">
      <alignment horizontal="center" vertical="center" wrapText="1"/>
    </xf>
    <xf numFmtId="165" fontId="28" fillId="5" borderId="20" xfId="0" applyNumberFormat="1" applyFont="1" applyFill="1" applyBorder="1" applyAlignment="1">
      <alignment horizontal="center" vertical="center" wrapText="1"/>
    </xf>
    <xf numFmtId="165" fontId="28" fillId="5" borderId="0" xfId="0" applyNumberFormat="1" applyFont="1" applyFill="1" applyAlignment="1">
      <alignment horizontal="center" vertical="center" wrapText="1"/>
    </xf>
    <xf numFmtId="165" fontId="28" fillId="5" borderId="22" xfId="0" applyNumberFormat="1" applyFont="1" applyFill="1" applyBorder="1" applyAlignment="1">
      <alignment horizontal="center" vertical="center" wrapText="1"/>
    </xf>
    <xf numFmtId="165" fontId="28" fillId="5" borderId="24" xfId="0" applyNumberFormat="1" applyFont="1" applyFill="1" applyBorder="1" applyAlignment="1">
      <alignment horizontal="center" vertical="center" wrapText="1"/>
    </xf>
    <xf numFmtId="165" fontId="28" fillId="5" borderId="25" xfId="0" applyNumberFormat="1" applyFont="1" applyFill="1" applyBorder="1" applyAlignment="1">
      <alignment horizontal="center" vertical="center" wrapText="1"/>
    </xf>
    <xf numFmtId="0" fontId="3" fillId="6" borderId="11" xfId="0" applyFont="1" applyFill="1" applyBorder="1" applyAlignment="1">
      <alignment horizontal="center" vertical="center" wrapText="1"/>
    </xf>
    <xf numFmtId="0" fontId="26" fillId="5" borderId="21" xfId="0" applyFont="1" applyFill="1" applyBorder="1" applyAlignment="1">
      <alignment horizontal="left" vertical="center" wrapText="1"/>
    </xf>
    <xf numFmtId="0" fontId="26" fillId="5" borderId="0" xfId="0" applyFont="1" applyFill="1" applyAlignment="1">
      <alignment horizontal="left" vertical="center" wrapText="1"/>
    </xf>
    <xf numFmtId="0" fontId="3" fillId="6" borderId="13" xfId="0" applyFont="1" applyFill="1" applyBorder="1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164" fontId="3" fillId="6" borderId="3" xfId="1" applyNumberFormat="1" applyFont="1" applyFill="1" applyBorder="1" applyAlignment="1">
      <alignment horizontal="center" vertical="center" wrapText="1"/>
    </xf>
    <xf numFmtId="164" fontId="3" fillId="6" borderId="4" xfId="1" applyNumberFormat="1" applyFont="1" applyFill="1" applyBorder="1" applyAlignment="1">
      <alignment horizontal="center" vertical="center" wrapText="1"/>
    </xf>
    <xf numFmtId="0" fontId="26" fillId="16" borderId="8" xfId="0" applyFont="1" applyFill="1" applyBorder="1" applyAlignment="1">
      <alignment horizontal="center" vertical="center" wrapText="1"/>
    </xf>
    <xf numFmtId="0" fontId="26" fillId="16" borderId="9" xfId="0" applyFont="1" applyFill="1" applyBorder="1" applyAlignment="1">
      <alignment horizontal="center" vertical="center" wrapText="1"/>
    </xf>
    <xf numFmtId="0" fontId="10" fillId="14" borderId="5" xfId="0" applyFont="1" applyFill="1" applyBorder="1" applyAlignment="1">
      <alignment horizontal="left" vertical="center"/>
    </xf>
    <xf numFmtId="0" fontId="10" fillId="14" borderId="3" xfId="0" applyFont="1" applyFill="1" applyBorder="1" applyAlignment="1">
      <alignment horizontal="left" vertical="center"/>
    </xf>
    <xf numFmtId="0" fontId="10" fillId="14" borderId="13" xfId="0" applyFont="1" applyFill="1" applyBorder="1" applyAlignment="1">
      <alignment horizontal="left" vertical="center"/>
    </xf>
    <xf numFmtId="0" fontId="10" fillId="14" borderId="0" xfId="0" applyFont="1" applyFill="1" applyAlignment="1">
      <alignment horizontal="left" vertical="center"/>
    </xf>
    <xf numFmtId="0" fontId="3" fillId="14" borderId="1" xfId="0" applyFont="1" applyFill="1" applyBorder="1" applyAlignment="1">
      <alignment horizontal="center" vertical="center" wrapText="1"/>
    </xf>
    <xf numFmtId="0" fontId="3" fillId="14" borderId="2" xfId="0" applyFont="1" applyFill="1" applyBorder="1" applyAlignment="1">
      <alignment horizontal="center" vertical="center" wrapText="1"/>
    </xf>
    <xf numFmtId="0" fontId="3" fillId="14" borderId="6" xfId="0" applyFont="1" applyFill="1" applyBorder="1" applyAlignment="1">
      <alignment horizontal="center" vertical="center" wrapText="1"/>
    </xf>
    <xf numFmtId="0" fontId="10" fillId="14" borderId="7" xfId="0" applyFont="1" applyFill="1" applyBorder="1" applyAlignment="1">
      <alignment horizontal="center" vertical="center" wrapText="1"/>
    </xf>
    <xf numFmtId="0" fontId="10" fillId="14" borderId="10" xfId="0" applyFont="1" applyFill="1" applyBorder="1" applyAlignment="1">
      <alignment horizontal="center" vertical="center" wrapText="1"/>
    </xf>
    <xf numFmtId="10" fontId="11" fillId="14" borderId="7" xfId="2" applyNumberFormat="1" applyFont="1" applyFill="1" applyBorder="1" applyAlignment="1">
      <alignment horizontal="center" vertical="center" wrapText="1"/>
    </xf>
    <xf numFmtId="10" fontId="11" fillId="14" borderId="10" xfId="2" applyNumberFormat="1" applyFont="1" applyFill="1" applyBorder="1" applyAlignment="1">
      <alignment horizontal="center" vertical="center" wrapText="1"/>
    </xf>
    <xf numFmtId="1" fontId="12" fillId="14" borderId="3" xfId="1" applyNumberFormat="1" applyFont="1" applyFill="1" applyBorder="1" applyAlignment="1">
      <alignment horizontal="center" vertical="center" wrapText="1"/>
    </xf>
    <xf numFmtId="1" fontId="12" fillId="14" borderId="9" xfId="1" applyNumberFormat="1" applyFont="1" applyFill="1" applyBorder="1" applyAlignment="1">
      <alignment horizontal="center" vertical="center" wrapText="1"/>
    </xf>
    <xf numFmtId="0" fontId="10" fillId="14" borderId="5" xfId="0" applyFont="1" applyFill="1" applyBorder="1" applyAlignment="1">
      <alignment horizontal="center" vertical="center" wrapText="1"/>
    </xf>
    <xf numFmtId="0" fontId="10" fillId="14" borderId="3" xfId="0" applyFont="1" applyFill="1" applyBorder="1" applyAlignment="1">
      <alignment horizontal="center" vertical="center" wrapText="1"/>
    </xf>
    <xf numFmtId="0" fontId="13" fillId="5" borderId="5" xfId="0" applyFont="1" applyFill="1" applyBorder="1" applyAlignment="1">
      <alignment horizontal="center" vertical="center" wrapText="1"/>
    </xf>
    <xf numFmtId="0" fontId="13" fillId="5" borderId="3" xfId="0" applyFont="1" applyFill="1" applyBorder="1" applyAlignment="1">
      <alignment horizontal="center" vertical="center" wrapText="1"/>
    </xf>
    <xf numFmtId="1" fontId="15" fillId="5" borderId="7" xfId="1" applyNumberFormat="1" applyFont="1" applyFill="1" applyBorder="1" applyAlignment="1">
      <alignment horizontal="center" vertical="center" wrapText="1"/>
    </xf>
    <xf numFmtId="1" fontId="15" fillId="5" borderId="15" xfId="1" applyNumberFormat="1" applyFont="1" applyFill="1" applyBorder="1" applyAlignment="1">
      <alignment horizontal="center" vertical="center" wrapText="1"/>
    </xf>
    <xf numFmtId="1" fontId="15" fillId="5" borderId="10" xfId="1" applyNumberFormat="1" applyFont="1" applyFill="1" applyBorder="1" applyAlignment="1">
      <alignment horizontal="center" vertical="center" wrapText="1"/>
    </xf>
    <xf numFmtId="2" fontId="22" fillId="5" borderId="7" xfId="1" applyNumberFormat="1" applyFont="1" applyFill="1" applyBorder="1" applyAlignment="1">
      <alignment horizontal="center" vertical="center" wrapText="1"/>
    </xf>
    <xf numFmtId="2" fontId="22" fillId="5" borderId="15" xfId="1" applyNumberFormat="1" applyFont="1" applyFill="1" applyBorder="1" applyAlignment="1">
      <alignment horizontal="center" vertical="center" wrapText="1"/>
    </xf>
    <xf numFmtId="2" fontId="22" fillId="5" borderId="10" xfId="1" applyNumberFormat="1" applyFont="1" applyFill="1" applyBorder="1" applyAlignment="1">
      <alignment horizontal="center" vertical="center" wrapText="1"/>
    </xf>
    <xf numFmtId="0" fontId="10" fillId="13" borderId="5" xfId="0" applyFont="1" applyFill="1" applyBorder="1" applyAlignment="1">
      <alignment horizontal="left" vertical="center"/>
    </xf>
    <xf numFmtId="0" fontId="10" fillId="13" borderId="3" xfId="0" applyFont="1" applyFill="1" applyBorder="1" applyAlignment="1">
      <alignment horizontal="left" vertical="center"/>
    </xf>
    <xf numFmtId="0" fontId="10" fillId="13" borderId="8" xfId="0" applyFont="1" applyFill="1" applyBorder="1" applyAlignment="1">
      <alignment horizontal="left" vertical="center"/>
    </xf>
    <xf numFmtId="0" fontId="10" fillId="13" borderId="9" xfId="0" applyFont="1" applyFill="1" applyBorder="1" applyAlignment="1">
      <alignment horizontal="left" vertical="center"/>
    </xf>
    <xf numFmtId="0" fontId="3" fillId="13" borderId="1" xfId="0" applyFont="1" applyFill="1" applyBorder="1" applyAlignment="1">
      <alignment horizontal="center" vertical="center" wrapText="1"/>
    </xf>
    <xf numFmtId="0" fontId="3" fillId="13" borderId="2" xfId="0" applyFont="1" applyFill="1" applyBorder="1" applyAlignment="1">
      <alignment horizontal="center" vertical="center" wrapText="1"/>
    </xf>
    <xf numFmtId="0" fontId="3" fillId="13" borderId="6" xfId="0" applyFont="1" applyFill="1" applyBorder="1" applyAlignment="1">
      <alignment horizontal="center" vertical="center" wrapText="1"/>
    </xf>
    <xf numFmtId="0" fontId="10" fillId="13" borderId="7" xfId="0" applyFont="1" applyFill="1" applyBorder="1" applyAlignment="1">
      <alignment horizontal="center" vertical="center" wrapText="1"/>
    </xf>
    <xf numFmtId="0" fontId="10" fillId="13" borderId="10" xfId="0" applyFont="1" applyFill="1" applyBorder="1" applyAlignment="1">
      <alignment horizontal="center" vertical="center" wrapText="1"/>
    </xf>
    <xf numFmtId="10" fontId="11" fillId="13" borderId="7" xfId="2" applyNumberFormat="1" applyFont="1" applyFill="1" applyBorder="1" applyAlignment="1">
      <alignment horizontal="center" vertical="center" wrapText="1"/>
    </xf>
    <xf numFmtId="10" fontId="11" fillId="13" borderId="10" xfId="2" applyNumberFormat="1" applyFont="1" applyFill="1" applyBorder="1" applyAlignment="1">
      <alignment horizontal="center" vertical="center" wrapText="1"/>
    </xf>
    <xf numFmtId="1" fontId="12" fillId="13" borderId="3" xfId="1" applyNumberFormat="1" applyFont="1" applyFill="1" applyBorder="1" applyAlignment="1">
      <alignment horizontal="center" vertical="center" wrapText="1"/>
    </xf>
    <xf numFmtId="1" fontId="12" fillId="13" borderId="9" xfId="1" applyNumberFormat="1" applyFont="1" applyFill="1" applyBorder="1" applyAlignment="1">
      <alignment horizontal="center" vertical="center" wrapText="1"/>
    </xf>
    <xf numFmtId="0" fontId="10" fillId="13" borderId="5" xfId="0" applyFont="1" applyFill="1" applyBorder="1" applyAlignment="1">
      <alignment horizontal="center" vertical="center" wrapText="1"/>
    </xf>
    <xf numFmtId="0" fontId="10" fillId="13" borderId="3" xfId="0" applyFont="1" applyFill="1" applyBorder="1" applyAlignment="1">
      <alignment horizontal="center" vertical="center" wrapText="1"/>
    </xf>
    <xf numFmtId="1" fontId="3" fillId="6" borderId="7" xfId="1" applyNumberFormat="1" applyFont="1" applyFill="1" applyBorder="1" applyAlignment="1">
      <alignment horizontal="center" vertical="center"/>
    </xf>
    <xf numFmtId="1" fontId="3" fillId="6" borderId="15" xfId="1" applyNumberFormat="1" applyFont="1" applyFill="1" applyBorder="1" applyAlignment="1">
      <alignment horizontal="center" vertical="center"/>
    </xf>
    <xf numFmtId="1" fontId="3" fillId="6" borderId="10" xfId="1" applyNumberFormat="1" applyFont="1" applyFill="1" applyBorder="1" applyAlignment="1">
      <alignment horizontal="center" vertical="center"/>
    </xf>
    <xf numFmtId="2" fontId="3" fillId="9" borderId="7" xfId="1" applyNumberFormat="1" applyFont="1" applyFill="1" applyBorder="1" applyAlignment="1">
      <alignment horizontal="center" vertical="center" wrapText="1"/>
    </xf>
    <xf numFmtId="2" fontId="3" fillId="9" borderId="15" xfId="1" applyNumberFormat="1" applyFont="1" applyFill="1" applyBorder="1" applyAlignment="1">
      <alignment horizontal="center" vertical="center" wrapText="1"/>
    </xf>
    <xf numFmtId="2" fontId="3" fillId="9" borderId="10" xfId="1" applyNumberFormat="1" applyFont="1" applyFill="1" applyBorder="1" applyAlignment="1">
      <alignment horizontal="center" vertical="center" wrapText="1"/>
    </xf>
    <xf numFmtId="2" fontId="3" fillId="9" borderId="5" xfId="1" applyNumberFormat="1" applyFont="1" applyFill="1" applyBorder="1" applyAlignment="1">
      <alignment horizontal="center" vertical="center" wrapText="1"/>
    </xf>
    <xf numFmtId="2" fontId="3" fillId="9" borderId="13" xfId="1" applyNumberFormat="1" applyFont="1" applyFill="1" applyBorder="1" applyAlignment="1">
      <alignment horizontal="center" vertical="center" wrapText="1"/>
    </xf>
    <xf numFmtId="2" fontId="3" fillId="9" borderId="8" xfId="1" applyNumberFormat="1" applyFont="1" applyFill="1" applyBorder="1" applyAlignment="1">
      <alignment horizontal="center" vertical="center" wrapText="1"/>
    </xf>
    <xf numFmtId="0" fontId="10" fillId="5" borderId="5" xfId="0" applyFont="1" applyFill="1" applyBorder="1" applyAlignment="1">
      <alignment horizontal="center" vertical="center" wrapText="1"/>
    </xf>
    <xf numFmtId="0" fontId="10" fillId="5" borderId="3" xfId="0" applyFont="1" applyFill="1" applyBorder="1" applyAlignment="1">
      <alignment horizontal="center" vertical="center" wrapText="1"/>
    </xf>
    <xf numFmtId="0" fontId="21" fillId="5" borderId="7" xfId="0" applyFont="1" applyFill="1" applyBorder="1" applyAlignment="1">
      <alignment horizontal="center" vertical="center" wrapText="1"/>
    </xf>
    <xf numFmtId="0" fontId="21" fillId="5" borderId="10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left" vertical="center" wrapText="1"/>
    </xf>
    <xf numFmtId="0" fontId="3" fillId="6" borderId="0" xfId="0" applyFont="1" applyFill="1" applyAlignment="1">
      <alignment horizontal="left" vertical="center" wrapText="1"/>
    </xf>
    <xf numFmtId="10" fontId="14" fillId="6" borderId="5" xfId="2" applyNumberFormat="1" applyFont="1" applyFill="1" applyBorder="1" applyAlignment="1">
      <alignment horizontal="center" vertical="center" wrapText="1"/>
    </xf>
    <xf numFmtId="10" fontId="14" fillId="6" borderId="13" xfId="2" applyNumberFormat="1" applyFont="1" applyFill="1" applyBorder="1" applyAlignment="1">
      <alignment horizontal="center" vertical="center" wrapText="1"/>
    </xf>
    <xf numFmtId="10" fontId="14" fillId="6" borderId="8" xfId="2" applyNumberFormat="1" applyFont="1" applyFill="1" applyBorder="1" applyAlignment="1">
      <alignment horizontal="center" vertical="center" wrapText="1"/>
    </xf>
    <xf numFmtId="1" fontId="5" fillId="6" borderId="4" xfId="1" applyNumberFormat="1" applyFont="1" applyFill="1" applyBorder="1" applyAlignment="1">
      <alignment horizontal="center" vertical="center" wrapText="1"/>
    </xf>
    <xf numFmtId="1" fontId="5" fillId="6" borderId="14" xfId="1" applyNumberFormat="1" applyFont="1" applyFill="1" applyBorder="1" applyAlignment="1">
      <alignment horizontal="center" vertical="center" wrapText="1"/>
    </xf>
    <xf numFmtId="1" fontId="5" fillId="6" borderId="11" xfId="1" applyNumberFormat="1" applyFont="1" applyFill="1" applyBorder="1" applyAlignment="1">
      <alignment horizontal="center" vertical="center" wrapText="1"/>
    </xf>
    <xf numFmtId="1" fontId="3" fillId="6" borderId="7" xfId="1" applyNumberFormat="1" applyFont="1" applyFill="1" applyBorder="1" applyAlignment="1">
      <alignment horizontal="center" vertical="center" wrapText="1"/>
    </xf>
    <xf numFmtId="1" fontId="3" fillId="6" borderId="15" xfId="1" applyNumberFormat="1" applyFont="1" applyFill="1" applyBorder="1" applyAlignment="1">
      <alignment horizontal="center" vertical="center" wrapText="1"/>
    </xf>
    <xf numFmtId="1" fontId="3" fillId="6" borderId="10" xfId="1" applyNumberFormat="1" applyFont="1" applyFill="1" applyBorder="1" applyAlignment="1">
      <alignment horizontal="center" vertical="center" wrapText="1"/>
    </xf>
    <xf numFmtId="2" fontId="16" fillId="5" borderId="7" xfId="1" applyNumberFormat="1" applyFont="1" applyFill="1" applyBorder="1" applyAlignment="1">
      <alignment horizontal="center" vertical="center" wrapText="1"/>
    </xf>
    <xf numFmtId="2" fontId="16" fillId="5" borderId="15" xfId="1" applyNumberFormat="1" applyFont="1" applyFill="1" applyBorder="1" applyAlignment="1">
      <alignment horizontal="center" vertical="center" wrapText="1"/>
    </xf>
    <xf numFmtId="2" fontId="16" fillId="5" borderId="10" xfId="1" applyNumberFormat="1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left" vertical="center" wrapText="1" indent="1"/>
    </xf>
    <xf numFmtId="0" fontId="3" fillId="6" borderId="11" xfId="0" applyFont="1" applyFill="1" applyBorder="1" applyAlignment="1">
      <alignment horizontal="left" vertical="center" wrapText="1" indent="1"/>
    </xf>
    <xf numFmtId="1" fontId="7" fillId="10" borderId="1" xfId="1" applyNumberFormat="1" applyFont="1" applyFill="1" applyBorder="1" applyAlignment="1">
      <alignment horizontal="left" vertical="center" wrapText="1" indent="16"/>
    </xf>
    <xf numFmtId="1" fontId="7" fillId="10" borderId="2" xfId="1" applyNumberFormat="1" applyFont="1" applyFill="1" applyBorder="1" applyAlignment="1">
      <alignment horizontal="left" vertical="center" wrapText="1" indent="16"/>
    </xf>
    <xf numFmtId="0" fontId="10" fillId="11" borderId="5" xfId="0" applyFont="1" applyFill="1" applyBorder="1" applyAlignment="1">
      <alignment horizontal="left" vertical="center"/>
    </xf>
    <xf numFmtId="0" fontId="10" fillId="11" borderId="3" xfId="0" applyFont="1" applyFill="1" applyBorder="1" applyAlignment="1">
      <alignment horizontal="left" vertical="center"/>
    </xf>
    <xf numFmtId="0" fontId="10" fillId="11" borderId="8" xfId="0" applyFont="1" applyFill="1" applyBorder="1" applyAlignment="1">
      <alignment horizontal="left" vertical="center"/>
    </xf>
    <xf numFmtId="0" fontId="10" fillId="11" borderId="9" xfId="0" applyFont="1" applyFill="1" applyBorder="1" applyAlignment="1">
      <alignment horizontal="left" vertical="center"/>
    </xf>
    <xf numFmtId="0" fontId="3" fillId="11" borderId="5" xfId="0" applyFont="1" applyFill="1" applyBorder="1" applyAlignment="1">
      <alignment horizontal="center" vertical="center" wrapText="1"/>
    </xf>
    <xf numFmtId="0" fontId="3" fillId="11" borderId="3" xfId="0" applyFont="1" applyFill="1" applyBorder="1" applyAlignment="1">
      <alignment horizontal="center" vertical="center" wrapText="1"/>
    </xf>
    <xf numFmtId="0" fontId="3" fillId="11" borderId="4" xfId="0" applyFont="1" applyFill="1" applyBorder="1" applyAlignment="1">
      <alignment horizontal="center" vertical="center" wrapText="1"/>
    </xf>
    <xf numFmtId="0" fontId="10" fillId="11" borderId="7" xfId="0" applyFont="1" applyFill="1" applyBorder="1" applyAlignment="1">
      <alignment horizontal="center" vertical="center" wrapText="1"/>
    </xf>
    <xf numFmtId="0" fontId="10" fillId="11" borderId="11" xfId="0" applyFont="1" applyFill="1" applyBorder="1" applyAlignment="1">
      <alignment horizontal="center" vertical="center" wrapText="1"/>
    </xf>
    <xf numFmtId="43" fontId="11" fillId="11" borderId="7" xfId="1" applyFont="1" applyFill="1" applyBorder="1" applyAlignment="1">
      <alignment horizontal="center" vertical="center" wrapText="1"/>
    </xf>
    <xf numFmtId="43" fontId="11" fillId="11" borderId="10" xfId="1" applyFont="1" applyFill="1" applyBorder="1" applyAlignment="1">
      <alignment horizontal="center" vertical="center" wrapText="1"/>
    </xf>
    <xf numFmtId="43" fontId="12" fillId="11" borderId="5" xfId="1" applyFont="1" applyFill="1" applyBorder="1" applyAlignment="1">
      <alignment horizontal="center" vertical="center" wrapText="1"/>
    </xf>
    <xf numFmtId="43" fontId="12" fillId="11" borderId="8" xfId="1" applyFont="1" applyFill="1" applyBorder="1" applyAlignment="1">
      <alignment horizontal="center" vertical="center" wrapText="1"/>
    </xf>
    <xf numFmtId="0" fontId="10" fillId="11" borderId="5" xfId="0" applyFont="1" applyFill="1" applyBorder="1" applyAlignment="1">
      <alignment horizontal="center" vertical="center" wrapText="1"/>
    </xf>
    <xf numFmtId="0" fontId="10" fillId="11" borderId="3" xfId="0" applyFont="1" applyFill="1" applyBorder="1" applyAlignment="1">
      <alignment horizontal="center" vertical="center" wrapText="1"/>
    </xf>
    <xf numFmtId="0" fontId="10" fillId="11" borderId="4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10" fillId="4" borderId="5" xfId="0" applyFont="1" applyFill="1" applyBorder="1" applyAlignment="1">
      <alignment horizontal="left" vertical="center"/>
    </xf>
    <xf numFmtId="0" fontId="10" fillId="4" borderId="3" xfId="0" applyFont="1" applyFill="1" applyBorder="1" applyAlignment="1">
      <alignment horizontal="left" vertical="center"/>
    </xf>
    <xf numFmtId="0" fontId="10" fillId="4" borderId="8" xfId="0" applyFont="1" applyFill="1" applyBorder="1" applyAlignment="1">
      <alignment horizontal="left" vertical="center"/>
    </xf>
    <xf numFmtId="0" fontId="10" fillId="4" borderId="9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 wrapText="1"/>
    </xf>
    <xf numFmtId="0" fontId="10" fillId="4" borderId="10" xfId="0" applyFont="1" applyFill="1" applyBorder="1" applyAlignment="1">
      <alignment horizontal="center" vertical="center" wrapText="1"/>
    </xf>
    <xf numFmtId="0" fontId="11" fillId="4" borderId="5" xfId="0" applyFont="1" applyFill="1" applyBorder="1" applyAlignment="1">
      <alignment horizontal="center" vertical="center" wrapText="1"/>
    </xf>
    <xf numFmtId="0" fontId="11" fillId="4" borderId="8" xfId="0" applyFont="1" applyFill="1" applyBorder="1" applyAlignment="1">
      <alignment horizontal="center" vertical="center" wrapText="1"/>
    </xf>
    <xf numFmtId="0" fontId="12" fillId="4" borderId="7" xfId="0" applyFont="1" applyFill="1" applyBorder="1" applyAlignment="1">
      <alignment horizontal="center" vertical="center" wrapText="1"/>
    </xf>
    <xf numFmtId="0" fontId="12" fillId="4" borderId="10" xfId="0" applyFont="1" applyFill="1" applyBorder="1" applyAlignment="1">
      <alignment horizontal="center" vertical="center" wrapText="1"/>
    </xf>
    <xf numFmtId="0" fontId="10" fillId="4" borderId="5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</cellXfs>
  <cellStyles count="4">
    <cellStyle name="Hiperlink" xfId="3" builtinId="8"/>
    <cellStyle name="Normal" xfId="0" builtinId="0"/>
    <cellStyle name="Porcentagem" xfId="2" builtinId="5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hyperlink" Target="https://cidades.ibge.gov.br/brasil/sc/chapeco/panoram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692AA0-B016-49C0-B5B5-6BB613E60F04}">
  <dimension ref="A1:AA32"/>
  <sheetViews>
    <sheetView tabSelected="1" topLeftCell="A2" zoomScale="90" zoomScaleNormal="90" workbookViewId="0">
      <selection activeCell="AA12" sqref="AA12"/>
    </sheetView>
  </sheetViews>
  <sheetFormatPr defaultColWidth="27.85546875" defaultRowHeight="18.75" customHeight="1" x14ac:dyDescent="0.25"/>
  <cols>
    <col min="1" max="1" width="1.42578125" style="4" customWidth="1"/>
    <col min="2" max="2" width="3.28515625" style="161" customWidth="1"/>
    <col min="3" max="3" width="42.28515625" style="162" customWidth="1"/>
    <col min="4" max="10" width="7" style="4" customWidth="1"/>
    <col min="11" max="11" width="8.7109375" style="4" customWidth="1"/>
    <col min="12" max="12" width="10.7109375" style="163" customWidth="1"/>
    <col min="13" max="13" width="16" style="164" customWidth="1"/>
    <col min="14" max="14" width="7.42578125" style="4" customWidth="1"/>
    <col min="15" max="24" width="6.28515625" style="4" customWidth="1"/>
    <col min="25" max="25" width="11.28515625" style="4" customWidth="1"/>
    <col min="26" max="26" width="2.42578125" style="4" customWidth="1"/>
    <col min="27" max="16384" width="27.85546875" style="4"/>
  </cols>
  <sheetData>
    <row r="1" spans="1:27" ht="18.7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2"/>
      <c r="M1" s="3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7" ht="18.75" customHeight="1" x14ac:dyDescent="0.25">
      <c r="A2" s="1"/>
      <c r="B2" s="301" t="s">
        <v>0</v>
      </c>
      <c r="C2" s="302"/>
      <c r="D2" s="5"/>
      <c r="E2" s="5"/>
      <c r="F2" s="5"/>
      <c r="G2" s="5"/>
      <c r="H2" s="5"/>
      <c r="I2" s="5"/>
      <c r="J2" s="5"/>
      <c r="K2" s="6"/>
      <c r="L2" s="7"/>
      <c r="M2" s="8"/>
      <c r="N2" s="303"/>
      <c r="O2" s="303"/>
      <c r="P2" s="303"/>
      <c r="Q2" s="303"/>
      <c r="R2" s="303"/>
      <c r="S2" s="9"/>
      <c r="T2" s="9"/>
      <c r="U2" s="9"/>
      <c r="V2" s="9"/>
      <c r="W2" s="9"/>
      <c r="X2" s="10"/>
      <c r="Y2" s="10"/>
      <c r="Z2" s="1"/>
    </row>
    <row r="3" spans="1:27" ht="18.75" customHeight="1" x14ac:dyDescent="0.25">
      <c r="A3" s="1"/>
      <c r="B3" s="304" t="s">
        <v>1</v>
      </c>
      <c r="C3" s="305"/>
      <c r="D3" s="308" t="s">
        <v>2</v>
      </c>
      <c r="E3" s="309"/>
      <c r="F3" s="309"/>
      <c r="G3" s="309"/>
      <c r="H3" s="309"/>
      <c r="I3" s="309"/>
      <c r="J3" s="310"/>
      <c r="K3" s="311" t="s">
        <v>3</v>
      </c>
      <c r="L3" s="313" t="s">
        <v>4</v>
      </c>
      <c r="M3" s="315" t="s">
        <v>5</v>
      </c>
      <c r="N3" s="317" t="s">
        <v>6</v>
      </c>
      <c r="O3" s="318"/>
      <c r="P3" s="318"/>
      <c r="Q3" s="318"/>
      <c r="R3" s="318"/>
      <c r="S3" s="230" t="s">
        <v>7</v>
      </c>
      <c r="T3" s="231"/>
      <c r="U3" s="231"/>
      <c r="V3" s="231"/>
      <c r="W3" s="231"/>
      <c r="X3" s="231"/>
      <c r="Y3" s="11"/>
      <c r="Z3" s="1"/>
    </row>
    <row r="4" spans="1:27" ht="18.75" customHeight="1" x14ac:dyDescent="0.25">
      <c r="A4" s="1"/>
      <c r="B4" s="306"/>
      <c r="C4" s="307"/>
      <c r="D4" s="12">
        <v>1</v>
      </c>
      <c r="E4" s="13">
        <v>2</v>
      </c>
      <c r="F4" s="13">
        <v>3</v>
      </c>
      <c r="G4" s="13">
        <v>4</v>
      </c>
      <c r="H4" s="13">
        <v>5</v>
      </c>
      <c r="I4" s="13">
        <v>6</v>
      </c>
      <c r="J4" s="14">
        <v>7</v>
      </c>
      <c r="K4" s="312"/>
      <c r="L4" s="314"/>
      <c r="M4" s="316"/>
      <c r="N4" s="15">
        <v>1</v>
      </c>
      <c r="O4" s="16">
        <v>2</v>
      </c>
      <c r="P4" s="16">
        <v>3</v>
      </c>
      <c r="Q4" s="16">
        <v>4</v>
      </c>
      <c r="R4" s="17">
        <v>5</v>
      </c>
      <c r="S4" s="18">
        <v>1</v>
      </c>
      <c r="T4" s="19">
        <v>2</v>
      </c>
      <c r="U4" s="19">
        <v>3</v>
      </c>
      <c r="V4" s="19">
        <v>4</v>
      </c>
      <c r="W4" s="19">
        <v>5</v>
      </c>
      <c r="X4" s="20" t="s">
        <v>8</v>
      </c>
      <c r="Y4" s="18" t="s">
        <v>9</v>
      </c>
      <c r="Z4" s="1"/>
    </row>
    <row r="5" spans="1:27" ht="18.75" customHeight="1" x14ac:dyDescent="0.25">
      <c r="A5" s="1"/>
      <c r="B5" s="21">
        <v>1</v>
      </c>
      <c r="C5" s="22" t="s">
        <v>10</v>
      </c>
      <c r="D5" s="23">
        <v>1136</v>
      </c>
      <c r="E5" s="24">
        <v>1374</v>
      </c>
      <c r="F5" s="24">
        <v>1967</v>
      </c>
      <c r="G5" s="24">
        <v>1967</v>
      </c>
      <c r="H5" s="24">
        <v>2435</v>
      </c>
      <c r="I5" s="24">
        <v>2547</v>
      </c>
      <c r="J5" s="25">
        <v>2861</v>
      </c>
      <c r="K5" s="26">
        <f>AVERAGE(D5:J5)</f>
        <v>2041</v>
      </c>
      <c r="L5" s="27">
        <f>K5/(220000/100000)</f>
        <v>927.72727272727263</v>
      </c>
      <c r="M5" s="28" t="s">
        <v>11</v>
      </c>
      <c r="N5" s="29" t="s">
        <v>12</v>
      </c>
      <c r="O5" s="30" t="s">
        <v>13</v>
      </c>
      <c r="P5" s="30" t="s">
        <v>14</v>
      </c>
      <c r="Q5" s="30" t="s">
        <v>15</v>
      </c>
      <c r="R5" s="30" t="s">
        <v>16</v>
      </c>
      <c r="S5" s="31">
        <f>IF($L$5&gt;0,1,0)</f>
        <v>1</v>
      </c>
      <c r="T5" s="31">
        <f>IF($L$5&gt;300,1,0)</f>
        <v>1</v>
      </c>
      <c r="U5" s="31">
        <f>IF($L$5&gt;450,1,0)</f>
        <v>1</v>
      </c>
      <c r="V5" s="31">
        <f>IF($L$5&gt;600,1,0)</f>
        <v>1</v>
      </c>
      <c r="W5" s="32">
        <f>IF($L$5&gt;750,1,0)</f>
        <v>1</v>
      </c>
      <c r="X5" s="33">
        <f>SUM(S5:W5)</f>
        <v>5</v>
      </c>
      <c r="Y5" s="278">
        <f>W4/(W4*B7)*X8</f>
        <v>4</v>
      </c>
      <c r="Z5" s="1"/>
    </row>
    <row r="6" spans="1:27" ht="18.75" customHeight="1" x14ac:dyDescent="0.25">
      <c r="A6" s="1"/>
      <c r="B6" s="34">
        <v>2</v>
      </c>
      <c r="C6" s="35" t="s">
        <v>17</v>
      </c>
      <c r="D6" s="36">
        <v>796</v>
      </c>
      <c r="E6" s="37">
        <v>796</v>
      </c>
      <c r="F6" s="37">
        <v>796</v>
      </c>
      <c r="G6" s="37">
        <v>796</v>
      </c>
      <c r="H6" s="37">
        <v>796</v>
      </c>
      <c r="I6" s="37">
        <v>796</v>
      </c>
      <c r="J6" s="38">
        <v>796</v>
      </c>
      <c r="K6" s="39">
        <f>AVERAGE(D6:J6)</f>
        <v>796</v>
      </c>
      <c r="L6" s="40">
        <f>K6/(220000/100000)</f>
        <v>361.81818181818181</v>
      </c>
      <c r="M6" s="41" t="s">
        <v>11</v>
      </c>
      <c r="N6" s="29" t="s">
        <v>18</v>
      </c>
      <c r="O6" s="30" t="s">
        <v>19</v>
      </c>
      <c r="P6" s="30" t="s">
        <v>20</v>
      </c>
      <c r="Q6" s="30" t="s">
        <v>21</v>
      </c>
      <c r="R6" s="30" t="s">
        <v>22</v>
      </c>
      <c r="S6" s="31">
        <f>IF($L$6&gt;0,1,0)</f>
        <v>1</v>
      </c>
      <c r="T6" s="31">
        <f>IF($L$6&gt;30,1,0)</f>
        <v>1</v>
      </c>
      <c r="U6" s="31">
        <f>IF($L$6&gt;45,1,0)</f>
        <v>1</v>
      </c>
      <c r="V6" s="31">
        <f>IF($L$6&gt;60,1,0)</f>
        <v>1</v>
      </c>
      <c r="W6" s="32">
        <f>IF($L$6&gt;75,1,0)</f>
        <v>1</v>
      </c>
      <c r="X6" s="33">
        <f>SUM(S6:W6)</f>
        <v>5</v>
      </c>
      <c r="Y6" s="279"/>
      <c r="Z6" s="1"/>
      <c r="AA6" s="42"/>
    </row>
    <row r="7" spans="1:27" ht="18.75" customHeight="1" x14ac:dyDescent="0.25">
      <c r="A7" s="1"/>
      <c r="B7" s="34">
        <v>3</v>
      </c>
      <c r="C7" s="35" t="s">
        <v>23</v>
      </c>
      <c r="D7" s="43">
        <f t="shared" ref="D7:J7" si="0">D6/D8</f>
        <v>1.6209171621731692E-2</v>
      </c>
      <c r="E7" s="44">
        <f t="shared" si="0"/>
        <v>1.6118907316282932E-2</v>
      </c>
      <c r="F7" s="44">
        <f t="shared" si="0"/>
        <v>1.5908545846990169E-2</v>
      </c>
      <c r="G7" s="44">
        <f t="shared" si="0"/>
        <v>1.5908545846990169E-2</v>
      </c>
      <c r="H7" s="44">
        <f t="shared" si="0"/>
        <v>1.5744293682503265E-2</v>
      </c>
      <c r="I7" s="44">
        <f t="shared" si="0"/>
        <v>1.5664974219703233E-2</v>
      </c>
      <c r="J7" s="45">
        <f t="shared" si="0"/>
        <v>1.54893948238957E-2</v>
      </c>
      <c r="K7" s="46">
        <f>AVERAGE(D7:J7)</f>
        <v>1.586340476544245E-2</v>
      </c>
      <c r="L7" s="40">
        <f>K7*100</f>
        <v>1.586340476544245</v>
      </c>
      <c r="M7" s="47" t="s">
        <v>24</v>
      </c>
      <c r="N7" s="29" t="s">
        <v>25</v>
      </c>
      <c r="O7" s="30" t="s">
        <v>26</v>
      </c>
      <c r="P7" s="30" t="s">
        <v>27</v>
      </c>
      <c r="Q7" s="30" t="s">
        <v>28</v>
      </c>
      <c r="R7" s="30" t="s">
        <v>29</v>
      </c>
      <c r="S7" s="31">
        <f>IF($L$7&gt;0,1,0)</f>
        <v>1</v>
      </c>
      <c r="T7" s="31">
        <f>IF($L$7&gt;1,1,0)</f>
        <v>1</v>
      </c>
      <c r="U7" s="31">
        <f>IF($L$7&gt;2,1,0)</f>
        <v>0</v>
      </c>
      <c r="V7" s="31">
        <f>IF($L$7&gt;3,1,0)</f>
        <v>0</v>
      </c>
      <c r="W7" s="32">
        <f>IF($L$7&gt;4,1,0)</f>
        <v>0</v>
      </c>
      <c r="X7" s="33">
        <f>SUM(S7:W7)</f>
        <v>2</v>
      </c>
      <c r="Y7" s="279"/>
      <c r="Z7" s="1"/>
      <c r="AA7" s="42"/>
    </row>
    <row r="8" spans="1:27" ht="18.75" customHeight="1" x14ac:dyDescent="0.25">
      <c r="A8" s="1"/>
      <c r="B8" s="281" t="s">
        <v>30</v>
      </c>
      <c r="C8" s="282"/>
      <c r="D8" s="48">
        <v>49108</v>
      </c>
      <c r="E8" s="49">
        <v>49383</v>
      </c>
      <c r="F8" s="49">
        <v>50036</v>
      </c>
      <c r="G8" s="49">
        <v>50036</v>
      </c>
      <c r="H8" s="49">
        <v>50558</v>
      </c>
      <c r="I8" s="49">
        <v>50814</v>
      </c>
      <c r="J8" s="50">
        <v>51390</v>
      </c>
      <c r="K8" s="51">
        <f>AVERAGE(D8:J8)</f>
        <v>50189.285714285717</v>
      </c>
      <c r="L8" s="52">
        <f>K8/(220000/100000)</f>
        <v>22813.311688311689</v>
      </c>
      <c r="M8" s="53" t="s">
        <v>11</v>
      </c>
      <c r="N8" s="283" t="s">
        <v>8</v>
      </c>
      <c r="O8" s="284"/>
      <c r="P8" s="284"/>
      <c r="Q8" s="284"/>
      <c r="R8" s="284"/>
      <c r="S8" s="54">
        <f t="shared" ref="S8:X8" si="1">SUM(S5:S7)</f>
        <v>3</v>
      </c>
      <c r="T8" s="54">
        <f t="shared" si="1"/>
        <v>3</v>
      </c>
      <c r="U8" s="54">
        <f t="shared" si="1"/>
        <v>2</v>
      </c>
      <c r="V8" s="54">
        <f t="shared" si="1"/>
        <v>2</v>
      </c>
      <c r="W8" s="54">
        <f t="shared" si="1"/>
        <v>2</v>
      </c>
      <c r="X8" s="55">
        <f t="shared" si="1"/>
        <v>12</v>
      </c>
      <c r="Y8" s="280"/>
      <c r="Z8" s="1"/>
    </row>
    <row r="9" spans="1:27" ht="11.25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2"/>
      <c r="M9" s="3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7" ht="18.75" customHeight="1" x14ac:dyDescent="0.25">
      <c r="A10" s="1"/>
      <c r="B10" s="285" t="s">
        <v>31</v>
      </c>
      <c r="C10" s="286"/>
      <c r="D10" s="289" t="s">
        <v>2</v>
      </c>
      <c r="E10" s="290"/>
      <c r="F10" s="290"/>
      <c r="G10" s="290"/>
      <c r="H10" s="290"/>
      <c r="I10" s="290"/>
      <c r="J10" s="291"/>
      <c r="K10" s="292" t="s">
        <v>32</v>
      </c>
      <c r="L10" s="294" t="s">
        <v>33</v>
      </c>
      <c r="M10" s="296" t="s">
        <v>34</v>
      </c>
      <c r="N10" s="298" t="s">
        <v>35</v>
      </c>
      <c r="O10" s="299"/>
      <c r="P10" s="299"/>
      <c r="Q10" s="299"/>
      <c r="R10" s="300"/>
      <c r="S10" s="262" t="s">
        <v>7</v>
      </c>
      <c r="T10" s="263"/>
      <c r="U10" s="263"/>
      <c r="V10" s="263"/>
      <c r="W10" s="263"/>
      <c r="X10" s="263"/>
      <c r="Y10" s="264" t="s">
        <v>36</v>
      </c>
      <c r="Z10" s="1"/>
    </row>
    <row r="11" spans="1:27" ht="18.75" customHeight="1" x14ac:dyDescent="0.25">
      <c r="A11" s="1"/>
      <c r="B11" s="287"/>
      <c r="C11" s="288"/>
      <c r="D11" s="56">
        <v>1</v>
      </c>
      <c r="E11" s="57">
        <v>2</v>
      </c>
      <c r="F11" s="57">
        <v>3</v>
      </c>
      <c r="G11" s="57">
        <v>4</v>
      </c>
      <c r="H11" s="57">
        <v>5</v>
      </c>
      <c r="I11" s="57">
        <v>6</v>
      </c>
      <c r="J11" s="58">
        <v>7</v>
      </c>
      <c r="K11" s="293"/>
      <c r="L11" s="295"/>
      <c r="M11" s="297"/>
      <c r="N11" s="59">
        <v>1</v>
      </c>
      <c r="O11" s="60">
        <v>2</v>
      </c>
      <c r="P11" s="60">
        <v>3</v>
      </c>
      <c r="Q11" s="60">
        <v>4</v>
      </c>
      <c r="R11" s="60">
        <v>5</v>
      </c>
      <c r="S11" s="61">
        <v>1</v>
      </c>
      <c r="T11" s="62">
        <v>2</v>
      </c>
      <c r="U11" s="62">
        <v>3</v>
      </c>
      <c r="V11" s="62">
        <v>4</v>
      </c>
      <c r="W11" s="62">
        <v>5</v>
      </c>
      <c r="X11" s="63" t="s">
        <v>8</v>
      </c>
      <c r="Y11" s="265"/>
      <c r="Z11" s="1"/>
    </row>
    <row r="12" spans="1:27" s="68" customFormat="1" ht="18.75" customHeight="1" x14ac:dyDescent="0.25">
      <c r="A12" s="1"/>
      <c r="B12" s="266">
        <v>4</v>
      </c>
      <c r="C12" s="267" t="s">
        <v>37</v>
      </c>
      <c r="D12" s="64">
        <v>0.25</v>
      </c>
      <c r="E12" s="65">
        <v>0.25</v>
      </c>
      <c r="F12" s="65">
        <v>0.27</v>
      </c>
      <c r="G12" s="65">
        <v>0.32</v>
      </c>
      <c r="H12" s="65">
        <v>0.35</v>
      </c>
      <c r="I12" s="65">
        <v>0.32</v>
      </c>
      <c r="J12" s="66">
        <v>0.3</v>
      </c>
      <c r="K12" s="67">
        <f>AVERAGE(D12:J12)</f>
        <v>0.29428571428571432</v>
      </c>
      <c r="L12" s="269">
        <f>(K12+K14)/2</f>
        <v>0.29428571428571432</v>
      </c>
      <c r="M12" s="272" t="s">
        <v>38</v>
      </c>
      <c r="N12" s="253" t="s">
        <v>39</v>
      </c>
      <c r="O12" s="275" t="s">
        <v>40</v>
      </c>
      <c r="P12" s="253" t="s">
        <v>41</v>
      </c>
      <c r="Q12" s="253" t="s">
        <v>42</v>
      </c>
      <c r="R12" s="253" t="s">
        <v>43</v>
      </c>
      <c r="S12" s="256">
        <f>IF($L$12&gt;0.0001%,1,0)</f>
        <v>1</v>
      </c>
      <c r="T12" s="256">
        <f>IF($L$12&gt;20%,1,0)</f>
        <v>1</v>
      </c>
      <c r="U12" s="256">
        <f>IF($L$12&gt;50%,1,0)</f>
        <v>0</v>
      </c>
      <c r="V12" s="256">
        <f>IF($L$12&gt;70%,1,0)</f>
        <v>0</v>
      </c>
      <c r="W12" s="259">
        <f>IF($L$12&gt;80%,1,0)</f>
        <v>0</v>
      </c>
      <c r="X12" s="232">
        <f>SUM(S12:W12)</f>
        <v>2</v>
      </c>
      <c r="Y12" s="235">
        <f>X12</f>
        <v>2</v>
      </c>
      <c r="Z12" s="1"/>
    </row>
    <row r="13" spans="1:27" s="68" customFormat="1" ht="18.75" customHeight="1" x14ac:dyDescent="0.25">
      <c r="A13" s="1"/>
      <c r="B13" s="209"/>
      <c r="C13" s="268"/>
      <c r="D13" s="69">
        <v>8</v>
      </c>
      <c r="E13" s="70">
        <v>9</v>
      </c>
      <c r="F13" s="70">
        <v>10</v>
      </c>
      <c r="G13" s="70">
        <v>11</v>
      </c>
      <c r="H13" s="70">
        <v>12</v>
      </c>
      <c r="I13" s="70">
        <v>13</v>
      </c>
      <c r="J13" s="71">
        <v>14</v>
      </c>
      <c r="K13" s="72"/>
      <c r="L13" s="270"/>
      <c r="M13" s="273"/>
      <c r="N13" s="254"/>
      <c r="O13" s="276"/>
      <c r="P13" s="254"/>
      <c r="Q13" s="254"/>
      <c r="R13" s="254"/>
      <c r="S13" s="257"/>
      <c r="T13" s="257"/>
      <c r="U13" s="257"/>
      <c r="V13" s="257"/>
      <c r="W13" s="260"/>
      <c r="X13" s="233"/>
      <c r="Y13" s="236"/>
      <c r="Z13" s="1"/>
    </row>
    <row r="14" spans="1:27" s="68" customFormat="1" ht="18.75" customHeight="1" x14ac:dyDescent="0.25">
      <c r="A14" s="1"/>
      <c r="B14" s="168"/>
      <c r="C14" s="177"/>
      <c r="D14" s="73">
        <v>0.25</v>
      </c>
      <c r="E14" s="74">
        <v>0.25</v>
      </c>
      <c r="F14" s="74">
        <v>0.27</v>
      </c>
      <c r="G14" s="74">
        <v>0.32</v>
      </c>
      <c r="H14" s="74">
        <v>0.35</v>
      </c>
      <c r="I14" s="74">
        <v>0.32</v>
      </c>
      <c r="J14" s="75">
        <v>0.3</v>
      </c>
      <c r="K14" s="76">
        <f>AVERAGE(D14:J14)</f>
        <v>0.29428571428571432</v>
      </c>
      <c r="L14" s="271"/>
      <c r="M14" s="274"/>
      <c r="N14" s="255"/>
      <c r="O14" s="277"/>
      <c r="P14" s="255"/>
      <c r="Q14" s="255"/>
      <c r="R14" s="255"/>
      <c r="S14" s="258"/>
      <c r="T14" s="258"/>
      <c r="U14" s="258"/>
      <c r="V14" s="258"/>
      <c r="W14" s="261"/>
      <c r="X14" s="234"/>
      <c r="Y14" s="237"/>
      <c r="Z14" s="1"/>
    </row>
    <row r="15" spans="1:27" s="68" customFormat="1" ht="9.7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2"/>
      <c r="M15" s="3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7" s="68" customFormat="1" ht="18.75" customHeight="1" x14ac:dyDescent="0.25">
      <c r="A16" s="1"/>
      <c r="B16" s="238" t="s">
        <v>44</v>
      </c>
      <c r="C16" s="239"/>
      <c r="D16" s="242" t="s">
        <v>2</v>
      </c>
      <c r="E16" s="243"/>
      <c r="F16" s="243"/>
      <c r="G16" s="243"/>
      <c r="H16" s="243"/>
      <c r="I16" s="243"/>
      <c r="J16" s="244"/>
      <c r="K16" s="245" t="s">
        <v>32</v>
      </c>
      <c r="L16" s="247" t="s">
        <v>45</v>
      </c>
      <c r="M16" s="249" t="s">
        <v>5</v>
      </c>
      <c r="N16" s="251" t="s">
        <v>35</v>
      </c>
      <c r="O16" s="252"/>
      <c r="P16" s="252"/>
      <c r="Q16" s="252"/>
      <c r="R16" s="252"/>
      <c r="S16" s="230" t="s">
        <v>7</v>
      </c>
      <c r="T16" s="231"/>
      <c r="U16" s="231"/>
      <c r="V16" s="231"/>
      <c r="W16" s="231"/>
      <c r="X16" s="231"/>
      <c r="Y16" s="11"/>
      <c r="Z16" s="1"/>
    </row>
    <row r="17" spans="1:26" s="68" customFormat="1" ht="18.75" customHeight="1" x14ac:dyDescent="0.25">
      <c r="A17" s="1"/>
      <c r="B17" s="240"/>
      <c r="C17" s="241"/>
      <c r="D17" s="77">
        <v>1</v>
      </c>
      <c r="E17" s="78">
        <v>2</v>
      </c>
      <c r="F17" s="78">
        <v>3</v>
      </c>
      <c r="G17" s="78">
        <v>4</v>
      </c>
      <c r="H17" s="78">
        <v>5</v>
      </c>
      <c r="I17" s="78">
        <v>6</v>
      </c>
      <c r="J17" s="79">
        <v>7</v>
      </c>
      <c r="K17" s="246"/>
      <c r="L17" s="248"/>
      <c r="M17" s="250"/>
      <c r="N17" s="80">
        <v>1</v>
      </c>
      <c r="O17" s="81">
        <v>2</v>
      </c>
      <c r="P17" s="81">
        <v>3</v>
      </c>
      <c r="Q17" s="81">
        <v>4</v>
      </c>
      <c r="R17" s="82">
        <v>5</v>
      </c>
      <c r="S17" s="18">
        <v>1</v>
      </c>
      <c r="T17" s="19">
        <v>2</v>
      </c>
      <c r="U17" s="19">
        <v>3</v>
      </c>
      <c r="V17" s="19">
        <v>4</v>
      </c>
      <c r="W17" s="19">
        <v>5</v>
      </c>
      <c r="X17" s="20" t="s">
        <v>8</v>
      </c>
      <c r="Y17" s="18" t="s">
        <v>9</v>
      </c>
      <c r="Z17" s="1"/>
    </row>
    <row r="18" spans="1:26" ht="26.25" customHeight="1" x14ac:dyDescent="0.25">
      <c r="A18" s="1"/>
      <c r="B18" s="83">
        <v>5</v>
      </c>
      <c r="C18" s="84" t="s">
        <v>46</v>
      </c>
      <c r="D18" s="85">
        <v>0</v>
      </c>
      <c r="E18" s="86">
        <v>0</v>
      </c>
      <c r="F18" s="86">
        <v>0</v>
      </c>
      <c r="G18" s="86">
        <v>0</v>
      </c>
      <c r="H18" s="86">
        <v>0</v>
      </c>
      <c r="I18" s="86">
        <v>0</v>
      </c>
      <c r="J18" s="87">
        <v>0</v>
      </c>
      <c r="K18" s="88">
        <f>AVERAGE(D18:J18)</f>
        <v>0</v>
      </c>
      <c r="L18" s="89">
        <f>K18/D31</f>
        <v>0</v>
      </c>
      <c r="M18" s="90" t="s">
        <v>47</v>
      </c>
      <c r="N18" s="91" t="s">
        <v>25</v>
      </c>
      <c r="O18" s="91" t="s">
        <v>48</v>
      </c>
      <c r="P18" s="92" t="s">
        <v>27</v>
      </c>
      <c r="Q18" s="92" t="s">
        <v>28</v>
      </c>
      <c r="R18" s="92" t="s">
        <v>29</v>
      </c>
      <c r="S18" s="93">
        <f>IF($L$18&gt;0%,1,0)</f>
        <v>0</v>
      </c>
      <c r="T18" s="93">
        <f>IF($L$18&gt;1%,1,0)</f>
        <v>0</v>
      </c>
      <c r="U18" s="93">
        <f>IF($L$18&gt;2%,1,0)</f>
        <v>0</v>
      </c>
      <c r="V18" s="93">
        <f>IF($L$18&gt;3%,1,0)</f>
        <v>0</v>
      </c>
      <c r="W18" s="93">
        <f>IF($L$18&gt;4%,1,0)</f>
        <v>0</v>
      </c>
      <c r="X18" s="94">
        <f>SUM(S18:W18)</f>
        <v>0</v>
      </c>
      <c r="Y18" s="165">
        <f>X18</f>
        <v>0</v>
      </c>
      <c r="Z18" s="1"/>
    </row>
    <row r="19" spans="1:26" ht="7.5" customHeight="1" x14ac:dyDescent="0.25">
      <c r="A19" s="95"/>
      <c r="B19" s="95"/>
      <c r="C19" s="95"/>
      <c r="D19" s="95"/>
      <c r="E19" s="95"/>
      <c r="F19" s="95"/>
      <c r="G19" s="95"/>
      <c r="H19" s="95"/>
      <c r="I19" s="95"/>
      <c r="J19" s="95"/>
      <c r="K19" s="95"/>
      <c r="L19" s="96"/>
      <c r="M19" s="97"/>
      <c r="N19" s="95"/>
      <c r="O19" s="95"/>
      <c r="P19" s="95"/>
      <c r="Q19" s="95"/>
      <c r="R19" s="95"/>
      <c r="S19" s="95"/>
      <c r="T19" s="95"/>
      <c r="U19" s="95"/>
      <c r="V19" s="95"/>
      <c r="W19" s="95"/>
      <c r="X19" s="95"/>
      <c r="Y19" s="95"/>
      <c r="Z19" s="1"/>
    </row>
    <row r="20" spans="1:26" s="68" customFormat="1" ht="18.75" customHeight="1" x14ac:dyDescent="0.25">
      <c r="A20" s="1"/>
      <c r="B20" s="215" t="s">
        <v>49</v>
      </c>
      <c r="C20" s="216"/>
      <c r="D20" s="219" t="s">
        <v>2</v>
      </c>
      <c r="E20" s="220"/>
      <c r="F20" s="220"/>
      <c r="G20" s="220"/>
      <c r="H20" s="220"/>
      <c r="I20" s="220"/>
      <c r="J20" s="221"/>
      <c r="K20" s="222" t="s">
        <v>32</v>
      </c>
      <c r="L20" s="224" t="s">
        <v>45</v>
      </c>
      <c r="M20" s="226" t="s">
        <v>5</v>
      </c>
      <c r="N20" s="228" t="s">
        <v>35</v>
      </c>
      <c r="O20" s="229"/>
      <c r="P20" s="229"/>
      <c r="Q20" s="229"/>
      <c r="R20" s="229"/>
      <c r="S20" s="230" t="s">
        <v>50</v>
      </c>
      <c r="T20" s="231"/>
      <c r="U20" s="231"/>
      <c r="V20" s="231"/>
      <c r="W20" s="231"/>
      <c r="X20" s="231"/>
      <c r="Y20" s="98" t="s">
        <v>51</v>
      </c>
      <c r="Z20" s="1"/>
    </row>
    <row r="21" spans="1:26" s="68" customFormat="1" ht="18.75" customHeight="1" x14ac:dyDescent="0.25">
      <c r="A21" s="1"/>
      <c r="B21" s="217"/>
      <c r="C21" s="218"/>
      <c r="D21" s="99">
        <v>1</v>
      </c>
      <c r="E21" s="100">
        <v>2</v>
      </c>
      <c r="F21" s="100">
        <v>3</v>
      </c>
      <c r="G21" s="100">
        <v>4</v>
      </c>
      <c r="H21" s="100">
        <v>5</v>
      </c>
      <c r="I21" s="100">
        <v>6</v>
      </c>
      <c r="J21" s="101">
        <v>7</v>
      </c>
      <c r="K21" s="223"/>
      <c r="L21" s="225"/>
      <c r="M21" s="227"/>
      <c r="N21" s="102">
        <v>1</v>
      </c>
      <c r="O21" s="103">
        <v>2</v>
      </c>
      <c r="P21" s="103">
        <v>3</v>
      </c>
      <c r="Q21" s="103">
        <v>4</v>
      </c>
      <c r="R21" s="104">
        <v>5</v>
      </c>
      <c r="S21" s="18">
        <v>1</v>
      </c>
      <c r="T21" s="19">
        <v>2</v>
      </c>
      <c r="U21" s="19">
        <v>3</v>
      </c>
      <c r="V21" s="19">
        <v>4</v>
      </c>
      <c r="W21" s="19">
        <v>5</v>
      </c>
      <c r="X21" s="20" t="s">
        <v>8</v>
      </c>
      <c r="Y21" s="18" t="s">
        <v>52</v>
      </c>
      <c r="Z21" s="1"/>
    </row>
    <row r="22" spans="1:26" ht="18.75" customHeight="1" x14ac:dyDescent="0.25">
      <c r="A22" s="1"/>
      <c r="B22" s="105"/>
      <c r="C22" s="106" t="s">
        <v>53</v>
      </c>
      <c r="D22" s="23">
        <v>320</v>
      </c>
      <c r="E22" s="166">
        <v>320</v>
      </c>
      <c r="F22" s="166">
        <v>320</v>
      </c>
      <c r="G22" s="166">
        <v>320</v>
      </c>
      <c r="H22" s="166">
        <v>320</v>
      </c>
      <c r="I22" s="166">
        <v>320</v>
      </c>
      <c r="J22" s="166">
        <v>320</v>
      </c>
      <c r="K22" s="107">
        <f>J22</f>
        <v>320</v>
      </c>
      <c r="L22" s="108">
        <f>K22/(D27+D28)</f>
        <v>0.90909090909090906</v>
      </c>
      <c r="M22" s="109" t="s">
        <v>54</v>
      </c>
      <c r="N22" s="110" t="s">
        <v>55</v>
      </c>
      <c r="O22" s="111" t="s">
        <v>56</v>
      </c>
      <c r="P22" s="112" t="s">
        <v>57</v>
      </c>
      <c r="Q22" s="112" t="s">
        <v>58</v>
      </c>
      <c r="R22" s="112" t="s">
        <v>59</v>
      </c>
      <c r="S22" s="93">
        <f>IF($L22&lt;101.9%,1,0)</f>
        <v>1</v>
      </c>
      <c r="T22" s="93">
        <f>IF($L22&lt;80%,1,0)</f>
        <v>0</v>
      </c>
      <c r="U22" s="93">
        <f>IF($L22&lt;60%,1,0)</f>
        <v>0</v>
      </c>
      <c r="V22" s="93">
        <f>IF($L22&lt;40%,1,0)</f>
        <v>0</v>
      </c>
      <c r="W22" s="93">
        <f>IF($L22&lt;20%,1,0)</f>
        <v>0</v>
      </c>
      <c r="X22" s="113">
        <f>SUM(S22:W22)</f>
        <v>1</v>
      </c>
      <c r="Y22" s="180">
        <f>X24/5</f>
        <v>0.2</v>
      </c>
      <c r="Z22" s="1"/>
    </row>
    <row r="23" spans="1:26" ht="18.75" customHeight="1" x14ac:dyDescent="0.25">
      <c r="A23" s="1"/>
      <c r="B23" s="114"/>
      <c r="C23" s="106" t="s">
        <v>60</v>
      </c>
      <c r="D23" s="85">
        <v>3022</v>
      </c>
      <c r="E23" s="167">
        <v>3022</v>
      </c>
      <c r="F23" s="167">
        <v>3022</v>
      </c>
      <c r="G23" s="167">
        <v>3022</v>
      </c>
      <c r="H23" s="167">
        <v>3022</v>
      </c>
      <c r="I23" s="167">
        <v>3022</v>
      </c>
      <c r="J23" s="167">
        <v>3022</v>
      </c>
      <c r="K23" s="107">
        <f>J23</f>
        <v>3022</v>
      </c>
      <c r="L23" s="108">
        <f>K23/(D28+D29)</f>
        <v>0.93300401358443963</v>
      </c>
      <c r="M23" s="115" t="s">
        <v>61</v>
      </c>
      <c r="N23" s="110" t="s">
        <v>55</v>
      </c>
      <c r="O23" s="111" t="s">
        <v>56</v>
      </c>
      <c r="P23" s="112" t="s">
        <v>57</v>
      </c>
      <c r="Q23" s="112" t="s">
        <v>58</v>
      </c>
      <c r="R23" s="112" t="s">
        <v>59</v>
      </c>
      <c r="S23" s="116">
        <f>IF($L$23&lt;101.9%,1,0)</f>
        <v>1</v>
      </c>
      <c r="T23" s="116">
        <f>IF($L23&lt;80%,1,0)</f>
        <v>0</v>
      </c>
      <c r="U23" s="116">
        <f>IF($L23&lt;60%,1,0)</f>
        <v>0</v>
      </c>
      <c r="V23" s="116">
        <f>IF($L23&lt;40%,1,0)</f>
        <v>0</v>
      </c>
      <c r="W23" s="116">
        <f>IF($L23&lt;20%,1,0)</f>
        <v>0</v>
      </c>
      <c r="X23" s="113">
        <f>SUM(S23:W23)</f>
        <v>1</v>
      </c>
      <c r="Y23" s="181"/>
      <c r="Z23" s="1"/>
    </row>
    <row r="24" spans="1:26" ht="18.75" customHeight="1" x14ac:dyDescent="0.25">
      <c r="A24" s="1"/>
      <c r="B24" s="117"/>
      <c r="C24" s="118" t="s">
        <v>62</v>
      </c>
      <c r="D24" s="119">
        <f t="shared" ref="D24:J24" si="2">SUM(D22:D23)</f>
        <v>3342</v>
      </c>
      <c r="E24" s="119">
        <f t="shared" si="2"/>
        <v>3342</v>
      </c>
      <c r="F24" s="119">
        <f t="shared" si="2"/>
        <v>3342</v>
      </c>
      <c r="G24" s="119">
        <f t="shared" si="2"/>
        <v>3342</v>
      </c>
      <c r="H24" s="119">
        <f t="shared" si="2"/>
        <v>3342</v>
      </c>
      <c r="I24" s="119">
        <f t="shared" si="2"/>
        <v>3342</v>
      </c>
      <c r="J24" s="119">
        <f t="shared" si="2"/>
        <v>3342</v>
      </c>
      <c r="K24" s="120">
        <f>SUM(K22:K23)</f>
        <v>3342</v>
      </c>
      <c r="L24" s="121">
        <f>K24/D31</f>
        <v>0.90988292948543426</v>
      </c>
      <c r="M24" s="122" t="s">
        <v>63</v>
      </c>
      <c r="N24" s="123" t="s">
        <v>55</v>
      </c>
      <c r="O24" s="124" t="s">
        <v>56</v>
      </c>
      <c r="P24" s="125" t="s">
        <v>57</v>
      </c>
      <c r="Q24" s="125" t="s">
        <v>58</v>
      </c>
      <c r="R24" s="126" t="s">
        <v>59</v>
      </c>
      <c r="S24" s="93">
        <f>IF($L24&lt;101.9%,1,0)</f>
        <v>1</v>
      </c>
      <c r="T24" s="93">
        <f>IF($L24&lt;80%,1,0)</f>
        <v>0</v>
      </c>
      <c r="U24" s="93">
        <f>IF($L24&lt;60%,1,0)</f>
        <v>0</v>
      </c>
      <c r="V24" s="93">
        <f>IF($L24&lt;40%,1,0)</f>
        <v>0</v>
      </c>
      <c r="W24" s="93">
        <f>IF($L24&lt;20%,1,0)</f>
        <v>0</v>
      </c>
      <c r="X24" s="127">
        <f>SUM(S24:W24)</f>
        <v>1</v>
      </c>
      <c r="Y24" s="182"/>
      <c r="Z24" s="1"/>
    </row>
    <row r="25" spans="1:26" ht="6.75" customHeight="1" thickBot="1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2"/>
      <c r="M25" s="3"/>
      <c r="N25" s="1"/>
      <c r="O25" s="95"/>
      <c r="P25" s="95"/>
      <c r="Q25" s="95"/>
      <c r="R25" s="1"/>
      <c r="S25" s="95"/>
      <c r="T25" s="95"/>
      <c r="U25" s="95"/>
      <c r="V25" s="95"/>
      <c r="W25" s="95"/>
      <c r="X25" s="95"/>
      <c r="Y25" s="95"/>
      <c r="Z25" s="1"/>
    </row>
    <row r="26" spans="1:26" ht="18.75" customHeight="1" x14ac:dyDescent="0.25">
      <c r="A26" s="1"/>
      <c r="B26" s="183" t="s">
        <v>64</v>
      </c>
      <c r="C26" s="184"/>
      <c r="D26" s="128" t="s">
        <v>65</v>
      </c>
      <c r="E26" s="129" t="s">
        <v>66</v>
      </c>
      <c r="F26" s="95"/>
      <c r="G26" s="130" t="s">
        <v>67</v>
      </c>
      <c r="H26" s="131"/>
      <c r="I26" s="131"/>
      <c r="J26" s="131"/>
      <c r="K26" s="131"/>
      <c r="L26" s="132"/>
      <c r="M26" s="3"/>
      <c r="N26" s="133"/>
      <c r="O26" s="134"/>
      <c r="P26" s="134"/>
      <c r="Q26" s="185" t="s">
        <v>68</v>
      </c>
      <c r="R26" s="186"/>
      <c r="S26" s="95"/>
      <c r="T26" s="135"/>
      <c r="U26" s="136"/>
      <c r="V26" s="136"/>
      <c r="W26" s="137"/>
      <c r="X26" s="187" t="s">
        <v>69</v>
      </c>
      <c r="Y26" s="188"/>
      <c r="Z26" s="1"/>
    </row>
    <row r="27" spans="1:26" ht="18.75" customHeight="1" x14ac:dyDescent="0.25">
      <c r="A27" s="1"/>
      <c r="B27" s="138"/>
      <c r="C27" s="139" t="s">
        <v>70</v>
      </c>
      <c r="D27" s="140">
        <v>91</v>
      </c>
      <c r="E27" s="141">
        <f>D27/D31*100</f>
        <v>2.477538796624013</v>
      </c>
      <c r="F27" s="95"/>
      <c r="G27" s="189" t="s">
        <v>71</v>
      </c>
      <c r="H27" s="190"/>
      <c r="I27" s="190"/>
      <c r="J27" s="190"/>
      <c r="K27" s="190"/>
      <c r="L27" s="191"/>
      <c r="M27" s="3"/>
      <c r="N27" s="192" t="s">
        <v>72</v>
      </c>
      <c r="O27" s="193"/>
      <c r="P27" s="142">
        <f>Y5</f>
        <v>4</v>
      </c>
      <c r="Q27" s="194">
        <f>IF(Y12&gt;((Y5+Y18)/2),Y12,((Y5++Y12+Y18)/3))</f>
        <v>2</v>
      </c>
      <c r="R27" s="195"/>
      <c r="S27" s="95"/>
      <c r="T27" s="198" t="s">
        <v>73</v>
      </c>
      <c r="U27" s="199"/>
      <c r="V27" s="199"/>
      <c r="W27" s="143">
        <f>Q27</f>
        <v>2</v>
      </c>
      <c r="X27" s="200">
        <f>Q27-(Q27*W30)</f>
        <v>0.39999999999999991</v>
      </c>
      <c r="Y27" s="201"/>
      <c r="Z27" s="1"/>
    </row>
    <row r="28" spans="1:26" ht="18.75" customHeight="1" x14ac:dyDescent="0.25">
      <c r="A28" s="1"/>
      <c r="B28" s="138"/>
      <c r="C28" s="139" t="s">
        <v>74</v>
      </c>
      <c r="D28" s="144">
        <f>261</f>
        <v>261</v>
      </c>
      <c r="E28" s="141">
        <f>D28/D31*100</f>
        <v>7.1059079771304114</v>
      </c>
      <c r="F28" s="95"/>
      <c r="G28" s="145"/>
      <c r="H28" s="146"/>
      <c r="I28" s="147" t="s">
        <v>75</v>
      </c>
      <c r="J28" s="147"/>
      <c r="K28" s="168" t="s">
        <v>76</v>
      </c>
      <c r="L28" s="206"/>
      <c r="M28" s="3"/>
      <c r="N28" s="192" t="s">
        <v>77</v>
      </c>
      <c r="O28" s="193"/>
      <c r="P28" s="142">
        <f>Y12</f>
        <v>2</v>
      </c>
      <c r="Q28" s="194"/>
      <c r="R28" s="195"/>
      <c r="S28" s="95"/>
      <c r="T28" s="207" t="s">
        <v>78</v>
      </c>
      <c r="U28" s="208"/>
      <c r="V28" s="208"/>
      <c r="W28" s="143">
        <f>X24</f>
        <v>1</v>
      </c>
      <c r="X28" s="202"/>
      <c r="Y28" s="203"/>
      <c r="Z28" s="1"/>
    </row>
    <row r="29" spans="1:26" ht="18.75" customHeight="1" x14ac:dyDescent="0.25">
      <c r="A29" s="1"/>
      <c r="B29" s="138"/>
      <c r="C29" s="139" t="s">
        <v>79</v>
      </c>
      <c r="D29" s="144">
        <v>2978</v>
      </c>
      <c r="E29" s="141">
        <f>D29/D31*100</f>
        <v>81.078137762047376</v>
      </c>
      <c r="F29" s="95"/>
      <c r="G29" s="209" t="s">
        <v>80</v>
      </c>
      <c r="H29" s="210"/>
      <c r="I29" s="211">
        <v>224013</v>
      </c>
      <c r="J29" s="212"/>
      <c r="K29" s="148">
        <f>I29/100000</f>
        <v>2.2401300000000002</v>
      </c>
      <c r="L29" s="149"/>
      <c r="M29" s="3"/>
      <c r="N29" s="213" t="s">
        <v>81</v>
      </c>
      <c r="O29" s="214"/>
      <c r="P29" s="150">
        <f>Y18</f>
        <v>0</v>
      </c>
      <c r="Q29" s="194"/>
      <c r="R29" s="195"/>
      <c r="S29" s="95"/>
      <c r="T29" s="207" t="s">
        <v>82</v>
      </c>
      <c r="U29" s="208"/>
      <c r="V29" s="208"/>
      <c r="W29" s="151">
        <f>Y22</f>
        <v>0.2</v>
      </c>
      <c r="X29" s="202"/>
      <c r="Y29" s="203"/>
      <c r="Z29" s="1"/>
    </row>
    <row r="30" spans="1:26" ht="18.75" customHeight="1" thickBot="1" x14ac:dyDescent="0.3">
      <c r="A30" s="1"/>
      <c r="B30" s="138"/>
      <c r="C30" s="139" t="s">
        <v>83</v>
      </c>
      <c r="D30" s="152">
        <v>343</v>
      </c>
      <c r="E30" s="141">
        <f>D30/D31*100</f>
        <v>9.3384154641982029</v>
      </c>
      <c r="F30" s="95"/>
      <c r="G30" s="168" t="s">
        <v>84</v>
      </c>
      <c r="H30" s="169"/>
      <c r="I30" s="170">
        <v>183530</v>
      </c>
      <c r="J30" s="171"/>
      <c r="K30" s="153">
        <f>I30/100000</f>
        <v>1.8352999999999999</v>
      </c>
      <c r="L30" s="154"/>
      <c r="M30" s="3"/>
      <c r="N30" s="172" t="s">
        <v>85</v>
      </c>
      <c r="O30" s="173"/>
      <c r="P30" s="155">
        <f>(Y5+Y12+Y18)/3</f>
        <v>2</v>
      </c>
      <c r="Q30" s="196"/>
      <c r="R30" s="197"/>
      <c r="S30" s="95"/>
      <c r="T30" s="174" t="s">
        <v>86</v>
      </c>
      <c r="U30" s="175"/>
      <c r="V30" s="175"/>
      <c r="W30" s="156">
        <f>1-W29</f>
        <v>0.8</v>
      </c>
      <c r="X30" s="204"/>
      <c r="Y30" s="205"/>
      <c r="Z30" s="1"/>
    </row>
    <row r="31" spans="1:26" ht="18.75" customHeight="1" x14ac:dyDescent="0.25">
      <c r="A31" s="1"/>
      <c r="B31" s="157"/>
      <c r="C31" s="158" t="s">
        <v>87</v>
      </c>
      <c r="D31" s="159">
        <f>SUM(D27:D30)</f>
        <v>3673</v>
      </c>
      <c r="E31" s="160">
        <f>E27+E28+E29+E30</f>
        <v>100.00000000000001</v>
      </c>
      <c r="F31" s="95"/>
      <c r="G31" s="176" t="s">
        <v>88</v>
      </c>
      <c r="H31" s="177"/>
      <c r="I31" s="170">
        <v>183531</v>
      </c>
      <c r="J31" s="170"/>
      <c r="K31" s="178">
        <f>I31/100000</f>
        <v>1.83531</v>
      </c>
      <c r="L31" s="179"/>
      <c r="M31" s="3"/>
      <c r="N31" s="95"/>
      <c r="O31" s="95"/>
      <c r="P31" s="95"/>
      <c r="Q31" s="95"/>
      <c r="R31" s="95"/>
      <c r="S31" s="95"/>
      <c r="T31" s="95"/>
      <c r="U31" s="1"/>
      <c r="V31" s="1"/>
      <c r="W31" s="1"/>
      <c r="X31" s="1"/>
      <c r="Y31" s="1"/>
      <c r="Z31" s="1"/>
    </row>
    <row r="32" spans="1:26" ht="18.7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2"/>
      <c r="M32" s="3"/>
      <c r="N32" s="1"/>
      <c r="O32" s="95"/>
      <c r="P32" s="95"/>
      <c r="Q32" s="95"/>
      <c r="R32" s="1"/>
      <c r="S32" s="95"/>
      <c r="T32" s="95"/>
      <c r="U32" s="95"/>
      <c r="V32" s="95"/>
      <c r="W32" s="95"/>
      <c r="X32" s="95"/>
      <c r="Y32" s="95"/>
      <c r="Z32" s="1"/>
    </row>
  </sheetData>
  <sheetProtection sheet="1" objects="1" scenarios="1"/>
  <protectedRanges>
    <protectedRange sqref="I29" name="Intervalo8"/>
    <protectedRange sqref="D27:D30" name="Intervalo7"/>
    <protectedRange sqref="D22:J23" name="Intervalo6"/>
    <protectedRange sqref="D18:J18" name="Intervalo5"/>
    <protectedRange sqref="D14:J14" name="Intervalo4"/>
    <protectedRange sqref="D12:J12" name="Intervalo3"/>
    <protectedRange sqref="D8:J8" name="Intervalo2"/>
    <protectedRange sqref="D5:J6" name="Intervalo1"/>
  </protectedRanges>
  <mergeCells count="73">
    <mergeCell ref="B2:C2"/>
    <mergeCell ref="N2:R2"/>
    <mergeCell ref="B3:C4"/>
    <mergeCell ref="D3:J3"/>
    <mergeCell ref="K3:K4"/>
    <mergeCell ref="L3:L4"/>
    <mergeCell ref="M3:M4"/>
    <mergeCell ref="N3:R3"/>
    <mergeCell ref="S3:X3"/>
    <mergeCell ref="Y5:Y8"/>
    <mergeCell ref="B8:C8"/>
    <mergeCell ref="N8:R8"/>
    <mergeCell ref="B10:C11"/>
    <mergeCell ref="D10:J10"/>
    <mergeCell ref="K10:K11"/>
    <mergeCell ref="L10:L11"/>
    <mergeCell ref="M10:M11"/>
    <mergeCell ref="N10:R10"/>
    <mergeCell ref="W12:W14"/>
    <mergeCell ref="S10:X10"/>
    <mergeCell ref="Y10:Y11"/>
    <mergeCell ref="B12:B14"/>
    <mergeCell ref="C12:C14"/>
    <mergeCell ref="L12:L14"/>
    <mergeCell ref="M12:M14"/>
    <mergeCell ref="N12:N14"/>
    <mergeCell ref="O12:O14"/>
    <mergeCell ref="P12:P14"/>
    <mergeCell ref="Q12:Q14"/>
    <mergeCell ref="N20:R20"/>
    <mergeCell ref="S20:X20"/>
    <mergeCell ref="X12:X14"/>
    <mergeCell ref="Y12:Y14"/>
    <mergeCell ref="B16:C17"/>
    <mergeCell ref="D16:J16"/>
    <mergeCell ref="K16:K17"/>
    <mergeCell ref="L16:L17"/>
    <mergeCell ref="M16:M17"/>
    <mergeCell ref="N16:R16"/>
    <mergeCell ref="S16:X16"/>
    <mergeCell ref="R12:R14"/>
    <mergeCell ref="S12:S14"/>
    <mergeCell ref="T12:T14"/>
    <mergeCell ref="U12:U14"/>
    <mergeCell ref="V12:V14"/>
    <mergeCell ref="B20:C21"/>
    <mergeCell ref="D20:J20"/>
    <mergeCell ref="K20:K21"/>
    <mergeCell ref="L20:L21"/>
    <mergeCell ref="M20:M21"/>
    <mergeCell ref="Y22:Y24"/>
    <mergeCell ref="B26:C26"/>
    <mergeCell ref="Q26:R26"/>
    <mergeCell ref="X26:Y26"/>
    <mergeCell ref="G27:L27"/>
    <mergeCell ref="N27:O27"/>
    <mergeCell ref="Q27:R30"/>
    <mergeCell ref="T27:V27"/>
    <mergeCell ref="X27:Y30"/>
    <mergeCell ref="K28:L28"/>
    <mergeCell ref="N28:O28"/>
    <mergeCell ref="T28:V28"/>
    <mergeCell ref="G29:H29"/>
    <mergeCell ref="I29:J29"/>
    <mergeCell ref="N29:O29"/>
    <mergeCell ref="T29:V29"/>
    <mergeCell ref="G30:H30"/>
    <mergeCell ref="I30:J30"/>
    <mergeCell ref="N30:O30"/>
    <mergeCell ref="T30:V30"/>
    <mergeCell ref="G31:H31"/>
    <mergeCell ref="I31:J31"/>
    <mergeCell ref="K31:L31"/>
  </mergeCells>
  <hyperlinks>
    <hyperlink ref="G27" r:id="rId1" xr:uid="{25B088BF-B657-4477-88B3-6C60781BB967}"/>
  </hyperlinks>
  <pageMargins left="0.511811024" right="0.511811024" top="0.78740157499999996" bottom="0.78740157499999996" header="0.31496062000000002" footer="0.31496062000000002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NS0_JAN_2022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Roberto</dc:creator>
  <cp:lastModifiedBy>gabriela oliveira</cp:lastModifiedBy>
  <dcterms:created xsi:type="dcterms:W3CDTF">2021-09-30T19:33:48Z</dcterms:created>
  <dcterms:modified xsi:type="dcterms:W3CDTF">2022-01-17T23:59:32Z</dcterms:modified>
</cp:coreProperties>
</file>